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agalvanizeit.sharepoint.com/sites/TechnicalDepartment/Shared Documents/02. Notes and Guides/Galvanizing Notes/2021-Pickle Bath Maintenance (Kleingarn Curve)/"/>
    </mc:Choice>
  </mc:AlternateContent>
  <xr:revisionPtr revIDLastSave="898" documentId="8_{81F79B4A-3A6A-43C3-813B-D919FE84ADCA}" xr6:coauthVersionLast="47" xr6:coauthVersionMax="47" xr10:uidLastSave="{05380384-50E6-4BAF-BF78-CE29DE78F304}"/>
  <bookViews>
    <workbookView xWindow="-108" yWindow="-108" windowWidth="23256" windowHeight="12576" xr2:uid="{BEBDE166-9267-415A-B022-D8DD600358BC}"/>
  </bookViews>
  <sheets>
    <sheet name="Kleingarn Curve Calculator" sheetId="1" r:id="rId1"/>
  </sheets>
  <definedNames>
    <definedName name="_xlnm.Print_Area" localSheetId="0">'Kleingarn Curve Calculator'!$A$1:$G$39,'Kleingarn Curve Calculator'!$H$2:$H$39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B34" i="1"/>
  <c r="S8" i="1"/>
  <c r="S7" i="1"/>
  <c r="S6" i="1"/>
  <c r="B31" i="1"/>
  <c r="N46" i="1" l="1"/>
  <c r="N32" i="1"/>
  <c r="N31" i="1" s="1"/>
  <c r="N21" i="1"/>
  <c r="F4" i="1" s="1"/>
  <c r="F11" i="1" s="1"/>
  <c r="N12" i="1"/>
  <c r="N11" i="1"/>
  <c r="N6" i="1"/>
  <c r="F15" i="1" l="1"/>
  <c r="S15" i="1" s="1"/>
  <c r="N33" i="1"/>
  <c r="S16" i="1"/>
  <c r="F19" i="1"/>
  <c r="F17" i="1"/>
  <c r="S5" i="1"/>
  <c r="N7" i="1"/>
  <c r="N9" i="1" s="1"/>
  <c r="N8" i="1" s="1"/>
  <c r="R41" i="1"/>
  <c r="N4" i="1"/>
  <c r="N5" i="1" s="1"/>
  <c r="N13" i="1" s="1"/>
  <c r="F9" i="1"/>
  <c r="N30" i="1"/>
  <c r="N56" i="1"/>
  <c r="N57" i="1" s="1"/>
  <c r="N51" i="1"/>
  <c r="N50" i="1"/>
  <c r="N53" i="1" s="1"/>
  <c r="N54" i="1" s="1"/>
  <c r="N43" i="1"/>
  <c r="N40" i="1"/>
  <c r="K37" i="1"/>
  <c r="K36" i="1"/>
  <c r="N35" i="1"/>
  <c r="N36" i="1" s="1"/>
  <c r="K35" i="1"/>
  <c r="K34" i="1"/>
  <c r="K33" i="1"/>
  <c r="K32" i="1"/>
  <c r="K31" i="1"/>
  <c r="K30" i="1"/>
  <c r="K26" i="1"/>
  <c r="K25" i="1"/>
  <c r="N24" i="1"/>
  <c r="N27" i="1" s="1"/>
  <c r="R6" i="1" s="1"/>
  <c r="K24" i="1"/>
  <c r="K23" i="1"/>
  <c r="K22" i="1"/>
  <c r="K21" i="1"/>
  <c r="K20" i="1"/>
  <c r="K19" i="1"/>
  <c r="N18" i="1"/>
  <c r="K18" i="1"/>
  <c r="K17" i="1"/>
  <c r="R15" i="1"/>
  <c r="N15" i="1"/>
  <c r="K13" i="1"/>
  <c r="K12" i="1"/>
  <c r="K11" i="1"/>
  <c r="N10" i="1"/>
  <c r="K10" i="1"/>
  <c r="K9" i="1"/>
  <c r="K8" i="1"/>
  <c r="R7" i="1"/>
  <c r="K7" i="1"/>
  <c r="K6" i="1"/>
  <c r="F6" i="1" l="1"/>
  <c r="F8" i="1" s="1"/>
  <c r="B33" i="1"/>
  <c r="B36" i="1"/>
  <c r="B30" i="1"/>
  <c r="F5" i="1"/>
  <c r="R8" i="1"/>
  <c r="N25" i="1"/>
  <c r="N26" i="1" s="1"/>
  <c r="R5" i="1"/>
  <c r="N19" i="1"/>
  <c r="U7" i="1"/>
  <c r="U6" i="1"/>
  <c r="U8" i="1"/>
  <c r="R16" i="1"/>
  <c r="N44" i="1"/>
  <c r="B8" i="1"/>
  <c r="N41" i="1"/>
  <c r="N39" i="1"/>
  <c r="N37" i="1"/>
  <c r="F7" i="1" l="1"/>
  <c r="N16" i="1"/>
  <c r="R22" i="1" s="1"/>
  <c r="Q29" i="1"/>
  <c r="T22" i="1"/>
  <c r="N20" i="1"/>
  <c r="N38" i="1"/>
  <c r="N14" i="1"/>
  <c r="E29" i="1"/>
  <c r="N45" i="1"/>
  <c r="N42" i="1"/>
  <c r="U16" i="1"/>
  <c r="N34" i="1"/>
  <c r="F16" i="1" s="1"/>
  <c r="Q24" i="1" l="1"/>
  <c r="Q28" i="1"/>
  <c r="Q32" i="1" s="1"/>
  <c r="N17" i="1"/>
  <c r="U5" i="1"/>
  <c r="Q10" i="1" s="1"/>
  <c r="Q11" i="1" s="1"/>
  <c r="F10" i="1" s="1"/>
  <c r="U15" i="1"/>
  <c r="Q18" i="1" s="1"/>
  <c r="Q19" i="1" s="1"/>
  <c r="F18" i="1" s="1"/>
  <c r="F12" i="1" l="1"/>
  <c r="Q31" i="1"/>
  <c r="Q30" i="1"/>
  <c r="F20" i="1"/>
  <c r="R23" i="1"/>
  <c r="T23" i="1"/>
  <c r="Q25" i="1" l="1"/>
  <c r="Q33" i="1"/>
</calcChain>
</file>

<file path=xl/sharedStrings.xml><?xml version="1.0" encoding="utf-8"?>
<sst xmlns="http://schemas.openxmlformats.org/spreadsheetml/2006/main" count="235" uniqueCount="110">
  <si>
    <t>Enter Pickle Tank Size and Bath Properties</t>
  </si>
  <si>
    <t>KLEINGARN CURVE</t>
  </si>
  <si>
    <t>Initial Pickle Tank Info</t>
  </si>
  <si>
    <t>SG Calculation - Regenerated Pickle Tank</t>
  </si>
  <si>
    <t>Length</t>
  </si>
  <si>
    <t>Keep:</t>
  </si>
  <si>
    <t>gal</t>
  </si>
  <si>
    <t>Iron Saturation Curve (No Pickling)</t>
  </si>
  <si>
    <t>Initial Volume</t>
  </si>
  <si>
    <t>in3</t>
  </si>
  <si>
    <t>SG</t>
  </si>
  <si>
    <t>Final Vol</t>
  </si>
  <si>
    <t>SG*Vol</t>
  </si>
  <si>
    <t>Width</t>
  </si>
  <si>
    <t>[HCl] in g/L</t>
  </si>
  <si>
    <t>[Fe] in g/L</t>
  </si>
  <si>
    <t>gals</t>
  </si>
  <si>
    <t>Spent pickle</t>
  </si>
  <si>
    <t>Height</t>
  </si>
  <si>
    <t>Remove/Dispose:</t>
  </si>
  <si>
    <t>m3</t>
  </si>
  <si>
    <t>Acid</t>
  </si>
  <si>
    <t>Current (Measured) Freeboard</t>
  </si>
  <si>
    <t>L</t>
  </si>
  <si>
    <t>Water</t>
  </si>
  <si>
    <t>Desired Freeboard</t>
  </si>
  <si>
    <t>lbs</t>
  </si>
  <si>
    <t>Gal/Tank Inch</t>
  </si>
  <si>
    <t>gal/tank inch</t>
  </si>
  <si>
    <t>Rinse</t>
  </si>
  <si>
    <t>Baumé</t>
  </si>
  <si>
    <t>°Baumé</t>
  </si>
  <si>
    <t>g/L</t>
  </si>
  <si>
    <t>Vol/Tank inch</t>
  </si>
  <si>
    <t>L/tank inch</t>
  </si>
  <si>
    <t>Initial Iron Concentration</t>
  </si>
  <si>
    <t>%wt Fe</t>
  </si>
  <si>
    <t>Est. SG of regenerated acid</t>
  </si>
  <si>
    <t>Initial Acid Concentration</t>
  </si>
  <si>
    <t>%wt HCl</t>
  </si>
  <si>
    <t>g/L HCl</t>
  </si>
  <si>
    <t>density</t>
  </si>
  <si>
    <t>g/L solution</t>
  </si>
  <si>
    <t>Est. Density of regenerated acid</t>
  </si>
  <si>
    <t>lbs/gallon</t>
  </si>
  <si>
    <t>Enter Purchased Acid Properties</t>
  </si>
  <si>
    <t>pickle liquor</t>
  </si>
  <si>
    <t>SG Calculation - Regenerated Rinse Tank</t>
  </si>
  <si>
    <t>Concentrated HCl Strength</t>
  </si>
  <si>
    <t>g</t>
  </si>
  <si>
    <t>Optimum Pickling Rate</t>
  </si>
  <si>
    <t>(Optional) Enter Acid Rinse Properties</t>
  </si>
  <si>
    <t>grams acid</t>
  </si>
  <si>
    <t>Iron</t>
  </si>
  <si>
    <t>Est. SG of regenerated rinse water</t>
  </si>
  <si>
    <t>g/L Fe</t>
  </si>
  <si>
    <t>Est. Density of regenerated rinse water</t>
  </si>
  <si>
    <t>Current (measured) Freeboard</t>
  </si>
  <si>
    <t>grams iron</t>
  </si>
  <si>
    <t>final Volume</t>
  </si>
  <si>
    <t>gallons</t>
  </si>
  <si>
    <t>Data Labels for Graph</t>
  </si>
  <si>
    <t>initial</t>
  </si>
  <si>
    <t xml:space="preserve"> Concentrated Stock Acid Info</t>
  </si>
  <si>
    <t>regenerated</t>
  </si>
  <si>
    <t>Acid Strength</t>
  </si>
  <si>
    <t>wt%</t>
  </si>
  <si>
    <t>Pickle Bath Adjustments</t>
  </si>
  <si>
    <t>Guidance for Pickle Bath Adjustments</t>
  </si>
  <si>
    <t>lbs/gal</t>
  </si>
  <si>
    <t>Add Concentrated Acid</t>
  </si>
  <si>
    <t>Initial Pickling Bath Performance</t>
  </si>
  <si>
    <t>50% Longer Pickling Times</t>
  </si>
  <si>
    <t>g/L HCl solution</t>
  </si>
  <si>
    <t>Rinse Water Properties</t>
  </si>
  <si>
    <t>g/L Iron solution</t>
  </si>
  <si>
    <t>Add Rinse water</t>
  </si>
  <si>
    <t>Initial Water Vol</t>
  </si>
  <si>
    <t>g/L Iron (saturation)</t>
  </si>
  <si>
    <t>g/L Iron (optimal)</t>
  </si>
  <si>
    <t>g/L Iron (50% line)</t>
  </si>
  <si>
    <t>Add Fresh Water</t>
  </si>
  <si>
    <t>gal/inch</t>
  </si>
  <si>
    <t>Vol/Tank Inch</t>
  </si>
  <si>
    <t>L/inch</t>
  </si>
  <si>
    <t>Reference Values - Water Densities</t>
  </si>
  <si>
    <t>water solution</t>
  </si>
  <si>
    <t xml:space="preserve">lbs water </t>
  </si>
  <si>
    <t>g water</t>
  </si>
  <si>
    <t>Fresh Water Properties</t>
  </si>
  <si>
    <r>
      <t>[FeCl</t>
    </r>
    <r>
      <rPr>
        <vertAlign val="subscript"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>] in g/L</t>
    </r>
  </si>
  <si>
    <t>145/(145-°Be)</t>
  </si>
  <si>
    <t>Galvanizer inputs variables in GREEN</t>
  </si>
  <si>
    <t>Desired Acid Concentration</t>
  </si>
  <si>
    <t>New Iron 
Concentration:</t>
  </si>
  <si>
    <t>New Acid 
Concentration:</t>
  </si>
  <si>
    <t>Add Fresh Water 
to Replenish:</t>
  </si>
  <si>
    <r>
      <t xml:space="preserve">
</t>
    </r>
    <r>
      <rPr>
        <b/>
        <sz val="12"/>
        <color theme="1"/>
        <rFont val="Calibri Light"/>
        <family val="2"/>
        <scheme val="major"/>
      </rPr>
      <t>2.</t>
    </r>
    <r>
      <rPr>
        <sz val="12"/>
        <color theme="1"/>
        <rFont val="Calibri Light"/>
        <family val="2"/>
        <scheme val="major"/>
      </rPr>
      <t xml:space="preserve"> If acid and iron are low, add acid and iron/steel until pickle times improve.
</t>
    </r>
    <r>
      <rPr>
        <b/>
        <sz val="12"/>
        <color theme="1"/>
        <rFont val="Calibri Light"/>
        <family val="2"/>
        <scheme val="major"/>
      </rPr>
      <t>3.</t>
    </r>
    <r>
      <rPr>
        <sz val="12"/>
        <color theme="1"/>
        <rFont val="Calibri Light"/>
        <family val="2"/>
        <scheme val="major"/>
      </rPr>
      <t xml:space="preserve"> If acid and iron are high, add rinse water and/or fresh water.
</t>
    </r>
    <r>
      <rPr>
        <b/>
        <sz val="12"/>
        <color theme="1"/>
        <rFont val="Calibri Light"/>
        <family val="2"/>
        <scheme val="major"/>
      </rPr>
      <t>4.</t>
    </r>
    <r>
      <rPr>
        <sz val="12"/>
        <color theme="1"/>
        <rFont val="Calibri Light"/>
        <family val="2"/>
        <scheme val="major"/>
      </rPr>
      <t xml:space="preserve"> If acid is high and iron is low, add iron, rinsewater, and/or other spent acid.
</t>
    </r>
    <r>
      <rPr>
        <b/>
        <sz val="12"/>
        <color theme="1"/>
        <rFont val="Calibri Light"/>
        <family val="2"/>
        <scheme val="major"/>
      </rPr>
      <t>5.</t>
    </r>
    <r>
      <rPr>
        <sz val="12"/>
        <color theme="1"/>
        <rFont val="Calibri Light"/>
        <family val="2"/>
        <scheme val="major"/>
      </rPr>
      <t xml:space="preserve"> Adding rinse water reduces iron concentration less than adding freshwater.</t>
    </r>
  </si>
  <si>
    <t>Initial Volume of Pickling Acid</t>
  </si>
  <si>
    <r>
      <rPr>
        <b/>
        <sz val="12"/>
        <color theme="1"/>
        <rFont val="Calibri Light"/>
        <family val="2"/>
        <scheme val="major"/>
      </rPr>
      <t>1.</t>
    </r>
    <r>
      <rPr>
        <sz val="12"/>
        <color theme="1"/>
        <rFont val="Calibri Light"/>
        <family val="2"/>
        <scheme val="major"/>
      </rPr>
      <t xml:space="preserve"> If acid is low and iron is high, estimate the gallons of fresh acid using the initial volume of pickling acid and concentrations of HCl. Then add water/rinsewater and adjust acid:</t>
    </r>
  </si>
  <si>
    <t>RESULTS:  Adjusted Pickle Bath</t>
  </si>
  <si>
    <t>RESULTS:  Adjusted Rinse Bath</t>
  </si>
  <si>
    <t>Pickle Bath Maintenance Calculator
(Kleingarn Curve Calculator)</t>
  </si>
  <si>
    <t>Liters</t>
  </si>
  <si>
    <t>meters</t>
  </si>
  <si>
    <t>kg</t>
  </si>
  <si>
    <t>tank meters</t>
  </si>
  <si>
    <t>liters</t>
  </si>
  <si>
    <t>Estimating liters pickling acid</t>
  </si>
  <si>
    <t>liters HCl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</si>
</sst>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26"/>
      <color rgb="FFEF423B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4"/>
      <name val="Calibri Light"/>
      <family val="2"/>
      <scheme val="major"/>
    </font>
    <font>
      <vertAlign val="subscript"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rgb="FFEF423B"/>
      <name val="Calibri Light"/>
      <family val="2"/>
      <scheme val="major"/>
    </font>
    <font>
      <b/>
      <sz val="20"/>
      <color rgb="FFEF423B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EF423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D7D7D"/>
        <bgColor indexed="64"/>
      </patternFill>
    </fill>
    <fill>
      <patternFill patternType="solid">
        <fgColor rgb="FF1867B4"/>
        <bgColor indexed="64"/>
      </patternFill>
    </fill>
    <fill>
      <patternFill patternType="solid">
        <fgColor rgb="FF3E8CD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4" fillId="0" borderId="4" xfId="0" applyFont="1" applyBorder="1"/>
    <xf numFmtId="0" fontId="4" fillId="0" borderId="6" xfId="0" applyFont="1" applyBorder="1"/>
    <xf numFmtId="164" fontId="4" fillId="0" borderId="5" xfId="0" applyNumberFormat="1" applyFont="1" applyBorder="1"/>
    <xf numFmtId="0" fontId="5" fillId="4" borderId="7" xfId="0" applyFont="1" applyFill="1" applyBorder="1"/>
    <xf numFmtId="0" fontId="5" fillId="4" borderId="0" xfId="0" applyFont="1" applyFill="1"/>
    <xf numFmtId="0" fontId="5" fillId="4" borderId="8" xfId="0" applyFont="1" applyFill="1" applyBorder="1"/>
    <xf numFmtId="0" fontId="1" fillId="0" borderId="7" xfId="0" applyFont="1" applyBorder="1"/>
    <xf numFmtId="1" fontId="1" fillId="0" borderId="0" xfId="0" applyNumberFormat="1" applyFont="1"/>
    <xf numFmtId="0" fontId="1" fillId="0" borderId="8" xfId="0" applyFont="1" applyBorder="1"/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1" fillId="6" borderId="7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8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8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8" xfId="0" applyNumberFormat="1" applyFont="1" applyBorder="1" applyAlignment="1">
      <alignment horizontal="center"/>
    </xf>
    <xf numFmtId="167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4" fillId="0" borderId="9" xfId="0" applyFont="1" applyBorder="1"/>
    <xf numFmtId="0" fontId="4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164" fontId="4" fillId="0" borderId="10" xfId="0" applyNumberFormat="1" applyFont="1" applyBorder="1"/>
    <xf numFmtId="0" fontId="4" fillId="5" borderId="10" xfId="0" applyFont="1" applyFill="1" applyBorder="1"/>
    <xf numFmtId="1" fontId="1" fillId="0" borderId="13" xfId="0" applyNumberFormat="1" applyFont="1" applyBorder="1"/>
    <xf numFmtId="2" fontId="1" fillId="0" borderId="0" xfId="0" applyNumberFormat="1" applyFont="1"/>
    <xf numFmtId="166" fontId="1" fillId="0" borderId="13" xfId="0" applyNumberFormat="1" applyFont="1" applyBorder="1"/>
    <xf numFmtId="1" fontId="1" fillId="0" borderId="7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67" fontId="1" fillId="0" borderId="12" xfId="0" applyNumberFormat="1" applyFont="1" applyBorder="1"/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2" fontId="1" fillId="0" borderId="13" xfId="0" applyNumberFormat="1" applyFont="1" applyBorder="1"/>
    <xf numFmtId="0" fontId="4" fillId="0" borderId="12" xfId="0" applyFont="1" applyBorder="1"/>
    <xf numFmtId="1" fontId="15" fillId="0" borderId="13" xfId="0" applyNumberFormat="1" applyFont="1" applyBorder="1"/>
    <xf numFmtId="0" fontId="1" fillId="0" borderId="0" xfId="0" applyFont="1" applyBorder="1"/>
    <xf numFmtId="164" fontId="4" fillId="0" borderId="5" xfId="0" applyNumberFormat="1" applyFont="1" applyFill="1" applyBorder="1"/>
    <xf numFmtId="0" fontId="14" fillId="0" borderId="0" xfId="0" quotePrefix="1" applyFont="1" applyBorder="1" applyAlignment="1">
      <alignment vertical="top" wrapText="1"/>
    </xf>
    <xf numFmtId="0" fontId="14" fillId="0" borderId="8" xfId="0" quotePrefix="1" applyFont="1" applyBorder="1" applyAlignment="1">
      <alignment vertical="top" wrapText="1"/>
    </xf>
    <xf numFmtId="164" fontId="4" fillId="5" borderId="5" xfId="0" applyNumberFormat="1" applyFont="1" applyFill="1" applyBorder="1" applyProtection="1">
      <protection locked="0"/>
    </xf>
    <xf numFmtId="164" fontId="4" fillId="5" borderId="10" xfId="0" applyNumberFormat="1" applyFont="1" applyFill="1" applyBorder="1" applyProtection="1">
      <protection locked="0"/>
    </xf>
    <xf numFmtId="1" fontId="4" fillId="5" borderId="5" xfId="0" applyNumberFormat="1" applyFont="1" applyFill="1" applyBorder="1" applyProtection="1">
      <protection locked="0"/>
    </xf>
    <xf numFmtId="165" fontId="7" fillId="5" borderId="5" xfId="0" applyNumberFormat="1" applyFont="1" applyFill="1" applyBorder="1" applyProtection="1">
      <protection locked="0"/>
    </xf>
    <xf numFmtId="165" fontId="4" fillId="5" borderId="5" xfId="0" applyNumberFormat="1" applyFont="1" applyFill="1" applyBorder="1" applyProtection="1">
      <protection locked="0"/>
    </xf>
    <xf numFmtId="0" fontId="4" fillId="0" borderId="6" xfId="0" applyFont="1" applyFill="1" applyBorder="1"/>
    <xf numFmtId="165" fontId="4" fillId="0" borderId="5" xfId="0" applyNumberFormat="1" applyFont="1" applyBorder="1"/>
    <xf numFmtId="0" fontId="4" fillId="0" borderId="11" xfId="0" applyFont="1" applyFill="1" applyBorder="1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7" borderId="15" xfId="0" applyFont="1" applyFill="1" applyBorder="1" applyAlignment="1">
      <alignment horizontal="left"/>
    </xf>
    <xf numFmtId="0" fontId="3" fillId="7" borderId="16" xfId="0" applyFont="1" applyFill="1" applyBorder="1" applyAlignment="1">
      <alignment horizontal="left"/>
    </xf>
    <xf numFmtId="0" fontId="3" fillId="7" borderId="17" xfId="0" applyFont="1" applyFill="1" applyBorder="1" applyAlignment="1">
      <alignment horizontal="left"/>
    </xf>
    <xf numFmtId="0" fontId="9" fillId="6" borderId="15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left"/>
    </xf>
    <xf numFmtId="0" fontId="6" fillId="8" borderId="16" xfId="0" applyFont="1" applyFill="1" applyBorder="1" applyAlignment="1">
      <alignment horizontal="left"/>
    </xf>
    <xf numFmtId="0" fontId="6" fillId="8" borderId="17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13" fillId="0" borderId="22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4" fillId="0" borderId="7" xfId="0" quotePrefix="1" applyFont="1" applyBorder="1" applyAlignment="1">
      <alignment horizontal="center" vertical="top" wrapText="1"/>
    </xf>
    <xf numFmtId="0" fontId="14" fillId="0" borderId="0" xfId="0" quotePrefix="1" applyFont="1" applyBorder="1" applyAlignment="1">
      <alignment horizontal="center" vertical="top" wrapText="1"/>
    </xf>
    <xf numFmtId="0" fontId="14" fillId="0" borderId="8" xfId="0" quotePrefix="1" applyFont="1" applyBorder="1" applyAlignment="1">
      <alignment horizontal="center" vertical="top" wrapText="1"/>
    </xf>
    <xf numFmtId="0" fontId="3" fillId="9" borderId="24" xfId="0" applyFont="1" applyFill="1" applyBorder="1" applyAlignment="1">
      <alignment horizontal="left" vertical="center"/>
    </xf>
    <xf numFmtId="0" fontId="3" fillId="9" borderId="25" xfId="0" applyFont="1" applyFill="1" applyBorder="1" applyAlignment="1">
      <alignment horizontal="left" vertical="center"/>
    </xf>
    <xf numFmtId="0" fontId="3" fillId="9" borderId="26" xfId="0" applyFont="1" applyFill="1" applyBorder="1" applyAlignment="1">
      <alignment horizontal="left" vertical="center"/>
    </xf>
    <xf numFmtId="0" fontId="3" fillId="8" borderId="24" xfId="0" applyFont="1" applyFill="1" applyBorder="1" applyAlignment="1">
      <alignment horizontal="left" vertical="center"/>
    </xf>
    <xf numFmtId="0" fontId="3" fillId="8" borderId="25" xfId="0" applyFont="1" applyFill="1" applyBorder="1" applyAlignment="1">
      <alignment horizontal="left" vertical="center"/>
    </xf>
    <xf numFmtId="0" fontId="3" fillId="8" borderId="27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left" vertical="center"/>
    </xf>
    <xf numFmtId="0" fontId="3" fillId="7" borderId="27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left"/>
    </xf>
    <xf numFmtId="0" fontId="3" fillId="8" borderId="16" xfId="0" applyFont="1" applyFill="1" applyBorder="1" applyAlignment="1">
      <alignment horizontal="left"/>
    </xf>
    <xf numFmtId="0" fontId="3" fillId="8" borderId="17" xfId="0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Open Sans Condensed Light" panose="020B0306030504020204" pitchFamily="34" charset="0"/>
                <a:cs typeface="Open Sans Condensed Light" panose="020B0306030504020204" pitchFamily="34" charset="0"/>
              </a:defRPr>
            </a:pPr>
            <a:r>
              <a:rPr lang="en-US" sz="3600" b="1">
                <a:latin typeface="+mj-lt"/>
                <a:ea typeface="Open Sans Condensed Light" panose="020B0306030504020204" pitchFamily="34" charset="0"/>
                <a:cs typeface="Open Sans Condensed Light" panose="020B0306030504020204" pitchFamily="34" charset="0"/>
              </a:rPr>
              <a:t>Kleingarn</a:t>
            </a:r>
            <a:r>
              <a:rPr lang="en-US" sz="3600" b="1" baseline="0">
                <a:latin typeface="+mj-lt"/>
                <a:ea typeface="Open Sans Condensed Light" panose="020B0306030504020204" pitchFamily="34" charset="0"/>
                <a:cs typeface="Open Sans Condensed Light" panose="020B0306030504020204" pitchFamily="34" charset="0"/>
              </a:rPr>
              <a:t> Curve</a:t>
            </a:r>
            <a:endParaRPr lang="en-US" sz="3600" b="1">
              <a:latin typeface="+mj-lt"/>
              <a:ea typeface="Open Sans Condensed Light" panose="020B0306030504020204" pitchFamily="34" charset="0"/>
              <a:cs typeface="Open Sans Condensed Light" panose="020B0306030504020204" pitchFamily="34" charset="0"/>
            </a:endParaRPr>
          </a:p>
        </c:rich>
      </c:tx>
      <c:layout>
        <c:manualLayout>
          <c:xMode val="edge"/>
          <c:yMode val="edge"/>
          <c:x val="0.34619038449115141"/>
          <c:y val="2.02608816839390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Open Sans Condensed Light" panose="020B0306030504020204" pitchFamily="34" charset="0"/>
              <a:cs typeface="Open Sans Condensed Light" panose="020B03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76035463746277"/>
          <c:y val="0.10659040191321965"/>
          <c:w val="0.7635089824782354"/>
          <c:h val="0.58531932152736943"/>
        </c:manualLayout>
      </c:layout>
      <c:scatterChart>
        <c:scatterStyle val="lineMarker"/>
        <c:varyColors val="0"/>
        <c:ser>
          <c:idx val="2"/>
          <c:order val="0"/>
          <c:tx>
            <c:strRef>
              <c:f>'Kleingarn Curve Calculator'!$I$28</c:f>
              <c:strCache>
                <c:ptCount val="1"/>
                <c:pt idx="0">
                  <c:v>50% Longer Pickling Times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'Kleingarn Curve Calculator'!$I$30:$I$37</c:f>
              <c:numCache>
                <c:formatCode>General</c:formatCode>
                <c:ptCount val="8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90</c:v>
                </c:pt>
                <c:pt idx="4">
                  <c:v>105</c:v>
                </c:pt>
                <c:pt idx="5">
                  <c:v>130</c:v>
                </c:pt>
                <c:pt idx="6">
                  <c:v>150</c:v>
                </c:pt>
                <c:pt idx="7">
                  <c:v>180</c:v>
                </c:pt>
              </c:numCache>
            </c:numRef>
          </c:xVal>
          <c:yVal>
            <c:numRef>
              <c:f>'Kleingarn Curve Calculator'!$J$30:$J$37</c:f>
              <c:numCache>
                <c:formatCode>General</c:formatCode>
                <c:ptCount val="8"/>
                <c:pt idx="0">
                  <c:v>123</c:v>
                </c:pt>
                <c:pt idx="1">
                  <c:v>115</c:v>
                </c:pt>
                <c:pt idx="2">
                  <c:v>90</c:v>
                </c:pt>
                <c:pt idx="3">
                  <c:v>60</c:v>
                </c:pt>
                <c:pt idx="4">
                  <c:v>50</c:v>
                </c:pt>
                <c:pt idx="5">
                  <c:v>35</c:v>
                </c:pt>
                <c:pt idx="6">
                  <c:v>25</c:v>
                </c:pt>
                <c:pt idx="7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6F6-4A86-BE5F-34658614B0C5}"/>
            </c:ext>
          </c:extLst>
        </c:ser>
        <c:ser>
          <c:idx val="0"/>
          <c:order val="1"/>
          <c:tx>
            <c:v>Iron Saturation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'Kleingarn Curve Calculator'!$I$6:$I$13</c:f>
              <c:numCache>
                <c:formatCode>General</c:formatCode>
                <c:ptCount val="8"/>
                <c:pt idx="0">
                  <c:v>10</c:v>
                </c:pt>
                <c:pt idx="1">
                  <c:v>70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160</c:v>
                </c:pt>
                <c:pt idx="6">
                  <c:v>250</c:v>
                </c:pt>
                <c:pt idx="7">
                  <c:v>280</c:v>
                </c:pt>
              </c:numCache>
            </c:numRef>
          </c:xVal>
          <c:yVal>
            <c:numRef>
              <c:f>'Kleingarn Curve Calculator'!$J$6:$J$13</c:f>
              <c:numCache>
                <c:formatCode>General</c:formatCode>
                <c:ptCount val="8"/>
                <c:pt idx="0">
                  <c:v>233</c:v>
                </c:pt>
                <c:pt idx="1">
                  <c:v>180</c:v>
                </c:pt>
                <c:pt idx="2">
                  <c:v>170</c:v>
                </c:pt>
                <c:pt idx="3">
                  <c:v>145</c:v>
                </c:pt>
                <c:pt idx="4">
                  <c:v>120</c:v>
                </c:pt>
                <c:pt idx="5">
                  <c:v>105</c:v>
                </c:pt>
                <c:pt idx="6">
                  <c:v>50</c:v>
                </c:pt>
                <c:pt idx="7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E9-4387-B6CA-9C349233E26B}"/>
            </c:ext>
          </c:extLst>
        </c:ser>
        <c:ser>
          <c:idx val="1"/>
          <c:order val="2"/>
          <c:tx>
            <c:v>Optimum Pickling</c:v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chemeClr val="accent6">
                    <a:alpha val="96000"/>
                  </a:schemeClr>
                </a:solidFill>
                <a:prstDash val="solid"/>
              </a:ln>
              <a:effectLst/>
            </c:spPr>
            <c:trendlineType val="poly"/>
            <c:order val="3"/>
            <c:dispRSqr val="0"/>
            <c:dispEq val="0"/>
          </c:trendline>
          <c:xVal>
            <c:numRef>
              <c:f>'Kleingarn Curve Calculator'!$I$17:$I$26</c:f>
              <c:numCache>
                <c:formatCode>General</c:formatCode>
                <c:ptCount val="10"/>
                <c:pt idx="0">
                  <c:v>10</c:v>
                </c:pt>
                <c:pt idx="1">
                  <c:v>40</c:v>
                </c:pt>
                <c:pt idx="2">
                  <c:v>66</c:v>
                </c:pt>
                <c:pt idx="3">
                  <c:v>120</c:v>
                </c:pt>
                <c:pt idx="4">
                  <c:v>140</c:v>
                </c:pt>
                <c:pt idx="5">
                  <c:v>160</c:v>
                </c:pt>
                <c:pt idx="6">
                  <c:v>190</c:v>
                </c:pt>
                <c:pt idx="7">
                  <c:v>220</c:v>
                </c:pt>
                <c:pt idx="8">
                  <c:v>260</c:v>
                </c:pt>
                <c:pt idx="9">
                  <c:v>280</c:v>
                </c:pt>
              </c:numCache>
            </c:numRef>
          </c:xVal>
          <c:yVal>
            <c:numRef>
              <c:f>'Kleingarn Curve Calculator'!$J$17:$J$26</c:f>
              <c:numCache>
                <c:formatCode>General</c:formatCode>
                <c:ptCount val="10"/>
                <c:pt idx="0">
                  <c:v>200</c:v>
                </c:pt>
                <c:pt idx="1">
                  <c:v>170</c:v>
                </c:pt>
                <c:pt idx="2">
                  <c:v>145</c:v>
                </c:pt>
                <c:pt idx="3">
                  <c:v>95</c:v>
                </c:pt>
                <c:pt idx="4">
                  <c:v>80</c:v>
                </c:pt>
                <c:pt idx="5">
                  <c:v>65</c:v>
                </c:pt>
                <c:pt idx="6">
                  <c:v>45</c:v>
                </c:pt>
                <c:pt idx="7">
                  <c:v>30</c:v>
                </c:pt>
                <c:pt idx="8">
                  <c:v>15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E9-4387-B6CA-9C349233E26B}"/>
            </c:ext>
          </c:extLst>
        </c:ser>
        <c:ser>
          <c:idx val="6"/>
          <c:order val="3"/>
          <c:tx>
            <c:v>Process Bath Data</c:v>
          </c:tx>
          <c:spPr>
            <a:ln w="19050" cap="flat" cmpd="sng">
              <a:solidFill>
                <a:srgbClr val="353535"/>
              </a:solidFill>
              <a:prstDash val="solid"/>
              <a:bevel/>
              <a:tailEnd type="arrow" w="lg" len="lg"/>
            </a:ln>
            <a:effectLst/>
          </c:spPr>
          <c:marker>
            <c:symbol val="circle"/>
            <c:size val="5"/>
            <c:spPr>
              <a:solidFill>
                <a:srgbClr val="353535"/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strRef>
                  <c:f>'Kleingarn Curve Calculator'!$Q$24</c:f>
                  <c:strCache>
                    <c:ptCount val="1"/>
                    <c:pt idx="0">
                      <c:v>Initial Pickle Bath
(55.2g/L HCl, 179.5g/L Fe)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j-lt"/>
                      <a:ea typeface="Open Sans Condensed Light" panose="020B0306030504020204" pitchFamily="34" charset="0"/>
                      <a:cs typeface="Open Sans Condensed Light" panose="020B0306030504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67359601534538"/>
                      <c:h val="7.8098822952400518E-2"/>
                    </c:manualLayout>
                  </c15:layout>
                  <c15:dlblFieldTable>
                    <c15:dlblFTEntry>
                      <c15:txfldGUID>{0EEB000F-B0BB-4A19-B1F0-8FBAF8213237}</c15:txfldGUID>
                      <c15:f>'Kleingarn Curve Calculator'!$Q$24</c15:f>
                      <c15:dlblFieldTableCache>
                        <c:ptCount val="1"/>
                        <c:pt idx="0">
                          <c:v>Initial Pickle Bath
(55.2g/L HCl, 179.5g/L Fe)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6F6-4A86-BE5F-34658614B0C5}"/>
                </c:ext>
              </c:extLst>
            </c:dLbl>
            <c:dLbl>
              <c:idx val="1"/>
              <c:tx>
                <c:strRef>
                  <c:f>'Kleingarn Curve Calculator'!$Q$25</c:f>
                  <c:strCache>
                    <c:ptCount val="1"/>
                    <c:pt idx="0">
                      <c:v>Adjusted Pickle Bath
(134.4g/L HCl, 85.9g/L Fe)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j-lt"/>
                      <a:ea typeface="Open Sans Condensed Light" panose="020B0306030504020204" pitchFamily="34" charset="0"/>
                      <a:cs typeface="Open Sans Condensed Light" panose="020B0306030504020204" pitchFamily="34" charset="0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92007855081949"/>
                      <c:h val="8.7445220304538648E-2"/>
                    </c:manualLayout>
                  </c15:layout>
                  <c15:dlblFieldTable>
                    <c15:dlblFTEntry>
                      <c15:txfldGUID>{AEECE93A-D63E-43C8-BDA2-382FA9485DAA}</c15:txfldGUID>
                      <c15:f>'Kleingarn Curve Calculator'!$Q$25</c15:f>
                      <c15:dlblFieldTableCache>
                        <c:ptCount val="1"/>
                        <c:pt idx="0">
                          <c:v>Adjusted Pickle Bath
(134.4g/L HCl, 85.9g/L Fe)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6F6-4A86-BE5F-34658614B0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Open Sans Condensed Light" panose="020B0306030504020204" pitchFamily="34" charset="0"/>
                    <a:cs typeface="Open Sans Condensed Light" panose="020B03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'Kleingarn Curve Calculator'!$R$22:$R$23</c:f>
              <c:numCache>
                <c:formatCode>0.0</c:formatCode>
                <c:ptCount val="2"/>
                <c:pt idx="0">
                  <c:v>55.238095238095241</c:v>
                </c:pt>
                <c:pt idx="1">
                  <c:v>134.3634999975919</c:v>
                </c:pt>
              </c:numCache>
            </c:numRef>
          </c:xVal>
          <c:yVal>
            <c:numRef>
              <c:f>'Kleingarn Curve Calculator'!$T$22:$T$23</c:f>
              <c:numCache>
                <c:formatCode>0.0</c:formatCode>
                <c:ptCount val="2"/>
                <c:pt idx="0">
                  <c:v>179.52380952380952</c:v>
                </c:pt>
                <c:pt idx="1">
                  <c:v>85.928528786859985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F6-4A86-BE5F-34658614B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509040"/>
        <c:axId val="999097616"/>
      </c:scatterChart>
      <c:valAx>
        <c:axId val="1102509040"/>
        <c:scaling>
          <c:orientation val="minMax"/>
          <c:max val="2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"[HCl] in g/L"</c:f>
              <c:strCache>
                <c:ptCount val="1"/>
                <c:pt idx="0">
                  <c:v>[HCl] in g/L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Open Sans Condensed Light" panose="020B0306030504020204" pitchFamily="34" charset="0"/>
                  <a:cs typeface="Open Sans Condensed Light" panose="020B0306030504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097616"/>
        <c:crosses val="autoZero"/>
        <c:crossBetween val="midCat"/>
      </c:valAx>
      <c:valAx>
        <c:axId val="99909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"[Fe] in g/L"</c:f>
              <c:strCache>
                <c:ptCount val="1"/>
                <c:pt idx="0">
                  <c:v>[Fe] in g/L</c:v>
                </c:pt>
              </c:strCache>
            </c:strRef>
          </c:tx>
          <c:layout>
            <c:manualLayout>
              <c:xMode val="edge"/>
              <c:yMode val="edge"/>
              <c:x val="1.5718487707911382E-2"/>
              <c:y val="0.345796439276748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Open Sans Condensed Light" panose="020B0306030504020204" pitchFamily="34" charset="0"/>
                  <a:cs typeface="Open Sans Condensed Light" panose="020B0306030504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50904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353535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68468</xdr:colOff>
      <xdr:row>2</xdr:row>
      <xdr:rowOff>1</xdr:rowOff>
    </xdr:from>
    <xdr:to>
      <xdr:col>7</xdr:col>
      <xdr:colOff>8248650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F09C3B-3EB1-4C12-81F0-9B3CA41E1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63500</xdr:colOff>
      <xdr:row>0</xdr:row>
      <xdr:rowOff>65810</xdr:rowOff>
    </xdr:from>
    <xdr:to>
      <xdr:col>1</xdr:col>
      <xdr:colOff>692727</xdr:colOff>
      <xdr:row>0</xdr:row>
      <xdr:rowOff>1050393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E4DFB4-4188-4762-B0FA-DB058A30CE7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62"/>
        <a:stretch/>
      </xdr:blipFill>
      <xdr:spPr bwMode="auto">
        <a:xfrm>
          <a:off x="63500" y="65810"/>
          <a:ext cx="2956791" cy="98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35857</xdr:colOff>
      <xdr:row>25</xdr:row>
      <xdr:rowOff>211576</xdr:rowOff>
    </xdr:from>
    <xdr:to>
      <xdr:col>6</xdr:col>
      <xdr:colOff>865819</xdr:colOff>
      <xdr:row>27</xdr:row>
      <xdr:rowOff>242050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A4C749-D96F-46E4-A9B7-34D2A50B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810" y="7177152"/>
          <a:ext cx="3044244" cy="532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0.20561</cdr:x>
      <cdr:y>0.78017</cdr:y>
    </cdr:from>
    <cdr:to>
      <cdr:x>0.84801</cdr:x>
      <cdr:y>0.98214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EBAB1B03-09B4-420F-9AA8-1B7AED4EB279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795"/>
        <a:stretch xmlns:a="http://schemas.openxmlformats.org/drawingml/2006/main"/>
      </cdr:blipFill>
      <cdr:spPr>
        <a:xfrm xmlns:a="http://schemas.openxmlformats.org/drawingml/2006/main">
          <a:off x="1380564" y="5091656"/>
          <a:ext cx="4313436" cy="131810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68CE1-3D59-48CA-9C60-F4F893EDE84D}">
  <dimension ref="A1:U57"/>
  <sheetViews>
    <sheetView tabSelected="1" view="pageBreakPreview" topLeftCell="A25" zoomScaleNormal="40" zoomScaleSheetLayoutView="100" zoomScalePageLayoutView="40" workbookViewId="0">
      <selection activeCell="B35" sqref="B35"/>
    </sheetView>
  </sheetViews>
  <sheetFormatPr defaultColWidth="8.88671875" defaultRowHeight="14.4" x14ac:dyDescent="0.3"/>
  <cols>
    <col min="1" max="1" width="34" style="1" bestFit="1" customWidth="1"/>
    <col min="2" max="2" width="13.109375" style="1" customWidth="1"/>
    <col min="3" max="3" width="13.44140625" style="1" bestFit="1" customWidth="1"/>
    <col min="4" max="4" width="2.6640625" style="1" customWidth="1"/>
    <col min="5" max="5" width="19.88671875" style="1" bestFit="1" customWidth="1"/>
    <col min="6" max="6" width="12.44140625" style="1" customWidth="1"/>
    <col min="7" max="7" width="13.33203125" style="1" customWidth="1"/>
    <col min="8" max="8" width="120.33203125" style="1" customWidth="1"/>
    <col min="9" max="9" width="13.33203125" style="1" customWidth="1"/>
    <col min="10" max="10" width="10.6640625" style="1" customWidth="1"/>
    <col min="11" max="11" width="15" style="1" customWidth="1"/>
    <col min="12" max="12" width="2.6640625" style="1" customWidth="1"/>
    <col min="13" max="13" width="15.88671875" style="1" customWidth="1"/>
    <col min="14" max="14" width="13.44140625" style="1" customWidth="1"/>
    <col min="15" max="15" width="14.44140625" style="1" customWidth="1"/>
    <col min="16" max="16" width="2.33203125" style="1" customWidth="1"/>
    <col min="17" max="17" width="12.5546875" style="1" customWidth="1"/>
    <col min="18" max="18" width="13.109375" style="1" customWidth="1"/>
    <col min="19" max="19" width="13.6640625" style="1" customWidth="1"/>
    <col min="20" max="20" width="5.5546875" style="1" customWidth="1"/>
    <col min="21" max="21" width="10.44140625" style="1" customWidth="1"/>
    <col min="22" max="16384" width="8.88671875" style="1"/>
  </cols>
  <sheetData>
    <row r="1" spans="1:21" ht="85.95" customHeight="1" x14ac:dyDescent="0.3">
      <c r="C1" s="111" t="s">
        <v>102</v>
      </c>
      <c r="D1" s="112"/>
      <c r="E1" s="112"/>
      <c r="F1" s="112"/>
      <c r="G1" s="112"/>
    </row>
    <row r="2" spans="1:21" ht="7.8" customHeight="1" thickBot="1" x14ac:dyDescent="0.35">
      <c r="C2" s="2"/>
      <c r="D2" s="3"/>
      <c r="E2" s="3"/>
      <c r="F2" s="3"/>
      <c r="G2" s="3"/>
    </row>
    <row r="3" spans="1:21" ht="19.95" customHeight="1" x14ac:dyDescent="0.35">
      <c r="A3" s="113" t="s">
        <v>0</v>
      </c>
      <c r="B3" s="114"/>
      <c r="C3" s="115"/>
      <c r="D3" s="4"/>
      <c r="E3" s="113" t="s">
        <v>100</v>
      </c>
      <c r="F3" s="114"/>
      <c r="G3" s="115"/>
      <c r="I3" s="119" t="s">
        <v>1</v>
      </c>
      <c r="J3" s="120"/>
      <c r="K3" s="121"/>
      <c r="M3" s="122" t="s">
        <v>2</v>
      </c>
      <c r="N3" s="123"/>
      <c r="O3" s="124"/>
      <c r="Q3" s="5" t="s">
        <v>3</v>
      </c>
      <c r="R3" s="6"/>
      <c r="S3" s="6"/>
      <c r="T3" s="6"/>
      <c r="U3" s="7"/>
    </row>
    <row r="4" spans="1:21" ht="19.95" customHeight="1" x14ac:dyDescent="0.35">
      <c r="A4" s="8" t="s">
        <v>4</v>
      </c>
      <c r="B4" s="58">
        <v>11</v>
      </c>
      <c r="C4" s="60" t="s">
        <v>104</v>
      </c>
      <c r="D4" s="4"/>
      <c r="E4" s="64" t="s">
        <v>5</v>
      </c>
      <c r="F4" s="10">
        <f>CONVERT(N21,"gal","L")-B29-B35-B32</f>
        <v>16491.5</v>
      </c>
      <c r="G4" s="60" t="s">
        <v>107</v>
      </c>
      <c r="I4" s="11" t="s">
        <v>7</v>
      </c>
      <c r="J4" s="12"/>
      <c r="K4" s="13"/>
      <c r="M4" s="14" t="s">
        <v>8</v>
      </c>
      <c r="N4" s="15">
        <f>CONVERT(N6,"m^3","in^3")</f>
        <v>2391367.9717123215</v>
      </c>
      <c r="O4" s="16" t="s">
        <v>9</v>
      </c>
      <c r="Q4" s="14"/>
      <c r="R4" s="17" t="s">
        <v>10</v>
      </c>
      <c r="S4" s="17" t="s">
        <v>11</v>
      </c>
      <c r="T4" s="17"/>
      <c r="U4" s="18" t="s">
        <v>12</v>
      </c>
    </row>
    <row r="5" spans="1:21" ht="19.95" customHeight="1" x14ac:dyDescent="0.35">
      <c r="A5" s="8" t="s">
        <v>13</v>
      </c>
      <c r="B5" s="58">
        <v>1.5</v>
      </c>
      <c r="C5" s="60" t="s">
        <v>104</v>
      </c>
      <c r="D5" s="4"/>
      <c r="E5" s="64"/>
      <c r="F5" s="10">
        <f>CONVERT((CONVERT(F4,"L","gal")/$N$8),"in","m")</f>
        <v>0.99948484848484842</v>
      </c>
      <c r="G5" s="60" t="s">
        <v>106</v>
      </c>
      <c r="I5" s="19" t="s">
        <v>14</v>
      </c>
      <c r="J5" s="20" t="s">
        <v>15</v>
      </c>
      <c r="K5" s="21" t="s">
        <v>90</v>
      </c>
      <c r="M5" s="14" t="s">
        <v>8</v>
      </c>
      <c r="N5" s="15">
        <f>CONVERT(N4,"in^3","gal")</f>
        <v>10352.242301784941</v>
      </c>
      <c r="O5" s="16" t="s">
        <v>16</v>
      </c>
      <c r="Q5" s="14" t="s">
        <v>17</v>
      </c>
      <c r="R5" s="22">
        <f>N10</f>
        <v>1.3809523809523809</v>
      </c>
      <c r="S5" s="15">
        <f>CONVERT(F4,"L","gal")</f>
        <v>4356.5934014644045</v>
      </c>
      <c r="T5" s="1" t="s">
        <v>6</v>
      </c>
      <c r="U5" s="23">
        <f>R5*S5</f>
        <v>6016.2480305937015</v>
      </c>
    </row>
    <row r="6" spans="1:21" ht="19.95" customHeight="1" x14ac:dyDescent="0.35">
      <c r="A6" s="8" t="s">
        <v>18</v>
      </c>
      <c r="B6" s="58">
        <v>2.5</v>
      </c>
      <c r="C6" s="60" t="s">
        <v>104</v>
      </c>
      <c r="D6" s="4"/>
      <c r="E6" s="64" t="s">
        <v>19</v>
      </c>
      <c r="F6" s="10">
        <f>CONVERT(N5,"gal","L")-F4</f>
        <v>22696</v>
      </c>
      <c r="G6" s="60" t="s">
        <v>107</v>
      </c>
      <c r="I6" s="24">
        <v>10</v>
      </c>
      <c r="J6" s="25">
        <v>233</v>
      </c>
      <c r="K6" s="26">
        <f>J6*127/56</f>
        <v>528.41071428571433</v>
      </c>
      <c r="M6" s="14" t="s">
        <v>8</v>
      </c>
      <c r="N6" s="27">
        <f>B4*B5*(B6-B7)</f>
        <v>39.1875</v>
      </c>
      <c r="O6" s="16" t="s">
        <v>20</v>
      </c>
      <c r="Q6" s="14" t="s">
        <v>21</v>
      </c>
      <c r="R6" s="28">
        <f>N27</f>
        <v>1.15919364</v>
      </c>
      <c r="S6" s="15">
        <f>CONVERT(B29,"L","gal")</f>
        <v>2957.6702982018296</v>
      </c>
      <c r="T6" s="1" t="s">
        <v>6</v>
      </c>
      <c r="U6" s="23">
        <f t="shared" ref="U6:U8" si="0">R6*S6</f>
        <v>3428.5125988924642</v>
      </c>
    </row>
    <row r="7" spans="1:21" ht="19.95" customHeight="1" x14ac:dyDescent="0.35">
      <c r="A7" s="8" t="s">
        <v>22</v>
      </c>
      <c r="B7" s="59">
        <v>0.125</v>
      </c>
      <c r="C7" s="60" t="s">
        <v>104</v>
      </c>
      <c r="D7" s="4"/>
      <c r="E7" s="64"/>
      <c r="F7" s="10">
        <f>CONVERT((CONVERT(F6,"L","gal")/$N$8),"in","m")</f>
        <v>1.3755151515151514</v>
      </c>
      <c r="G7" s="60" t="s">
        <v>106</v>
      </c>
      <c r="I7" s="24">
        <v>70</v>
      </c>
      <c r="J7" s="25">
        <v>180</v>
      </c>
      <c r="K7" s="26">
        <f>J7*127/56</f>
        <v>408.21428571428572</v>
      </c>
      <c r="M7" s="14" t="s">
        <v>8</v>
      </c>
      <c r="N7" s="15">
        <f>CONVERT(N6,"m^3","L")</f>
        <v>39187.5</v>
      </c>
      <c r="O7" s="16" t="s">
        <v>23</v>
      </c>
      <c r="Q7" s="14" t="s">
        <v>24</v>
      </c>
      <c r="R7" s="29">
        <f>N49</f>
        <v>1</v>
      </c>
      <c r="S7" s="1">
        <f>CONVERT(B35,"L","gal")</f>
        <v>0</v>
      </c>
      <c r="T7" s="1" t="s">
        <v>6</v>
      </c>
      <c r="U7" s="23">
        <f t="shared" si="0"/>
        <v>0</v>
      </c>
    </row>
    <row r="8" spans="1:21" ht="19.95" customHeight="1" x14ac:dyDescent="0.35">
      <c r="A8" s="8" t="s">
        <v>98</v>
      </c>
      <c r="B8" s="52">
        <f>N7</f>
        <v>39187.5</v>
      </c>
      <c r="C8" s="60" t="s">
        <v>103</v>
      </c>
      <c r="D8" s="4"/>
      <c r="E8" s="64"/>
      <c r="F8" s="10">
        <f>CONVERT((CONVERT(F6,"L","gal")*N12),"lbm","kg")</f>
        <v>31342.094536296052</v>
      </c>
      <c r="G8" s="60" t="s">
        <v>105</v>
      </c>
      <c r="I8" s="24">
        <v>80</v>
      </c>
      <c r="J8" s="25">
        <v>170</v>
      </c>
      <c r="K8" s="26">
        <f t="shared" ref="K8:K13" si="1">J8*127/56</f>
        <v>385.53571428571428</v>
      </c>
      <c r="M8" s="14" t="s">
        <v>27</v>
      </c>
      <c r="N8" s="15">
        <f>CONVERT(N9,"L","gal")</f>
        <v>110.71450714330001</v>
      </c>
      <c r="O8" s="16" t="s">
        <v>28</v>
      </c>
      <c r="Q8" s="14" t="s">
        <v>29</v>
      </c>
      <c r="R8" s="29">
        <f>N35</f>
        <v>1.1788617886178863</v>
      </c>
      <c r="S8" s="1">
        <f>CONVERT(B32,"L","gal")</f>
        <v>3037.9786021187069</v>
      </c>
      <c r="T8" s="1" t="s">
        <v>6</v>
      </c>
      <c r="U8" s="23">
        <f t="shared" si="0"/>
        <v>3581.3568886765247</v>
      </c>
    </row>
    <row r="9" spans="1:21" ht="19.95" customHeight="1" x14ac:dyDescent="0.35">
      <c r="A9" s="8" t="s">
        <v>25</v>
      </c>
      <c r="B9" s="59">
        <v>0.125</v>
      </c>
      <c r="C9" s="60" t="s">
        <v>104</v>
      </c>
      <c r="D9" s="4"/>
      <c r="E9" s="63" t="s">
        <v>94</v>
      </c>
      <c r="F9" s="10">
        <f>((F4*N19)+(B32*N44))/CONVERT(N21,"gal","L")</f>
        <v>85.928528786859985</v>
      </c>
      <c r="G9" s="9" t="s">
        <v>32</v>
      </c>
      <c r="I9" s="24">
        <v>110</v>
      </c>
      <c r="J9" s="25">
        <v>145</v>
      </c>
      <c r="K9" s="26">
        <f t="shared" si="1"/>
        <v>328.83928571428572</v>
      </c>
      <c r="M9" s="14" t="s">
        <v>33</v>
      </c>
      <c r="N9" s="15">
        <f>N7/CONVERT(B6-B7,"m","in")</f>
        <v>419.1</v>
      </c>
      <c r="O9" s="16" t="s">
        <v>34</v>
      </c>
      <c r="Q9" s="14"/>
      <c r="U9" s="16"/>
    </row>
    <row r="10" spans="1:21" ht="19.95" customHeight="1" x14ac:dyDescent="0.35">
      <c r="A10" s="8" t="s">
        <v>30</v>
      </c>
      <c r="B10" s="55">
        <v>40</v>
      </c>
      <c r="C10" s="60" t="s">
        <v>31</v>
      </c>
      <c r="D10" s="4"/>
      <c r="E10" s="64"/>
      <c r="F10" s="10">
        <f>F9/Q11*100</f>
        <v>6.828995281189103</v>
      </c>
      <c r="G10" s="9" t="s">
        <v>36</v>
      </c>
      <c r="I10" s="24">
        <v>140</v>
      </c>
      <c r="J10" s="25">
        <v>120</v>
      </c>
      <c r="K10" s="26">
        <f t="shared" si="1"/>
        <v>272.14285714285717</v>
      </c>
      <c r="M10" s="14" t="s">
        <v>10</v>
      </c>
      <c r="N10" s="28">
        <f>145/(145-B10)</f>
        <v>1.3809523809523809</v>
      </c>
      <c r="O10" s="16" t="s">
        <v>91</v>
      </c>
      <c r="Q10" s="14">
        <f>SUM(U5:U8)/N21</f>
        <v>1.2582894737613237</v>
      </c>
      <c r="R10" s="1" t="s">
        <v>37</v>
      </c>
      <c r="S10" s="15"/>
      <c r="U10" s="16"/>
    </row>
    <row r="11" spans="1:21" ht="19.95" customHeight="1" thickBot="1" x14ac:dyDescent="0.4">
      <c r="A11" s="8" t="s">
        <v>35</v>
      </c>
      <c r="B11" s="55">
        <v>13</v>
      </c>
      <c r="C11" s="60" t="s">
        <v>36</v>
      </c>
      <c r="D11" s="4"/>
      <c r="E11" s="63" t="s">
        <v>95</v>
      </c>
      <c r="F11" s="10">
        <f>((B29*N25)+(B32*N41)+(F4*N16))/CONVERT(N21,"gal","L")</f>
        <v>134.3634999975919</v>
      </c>
      <c r="G11" s="9" t="s">
        <v>40</v>
      </c>
      <c r="I11" s="24">
        <v>160</v>
      </c>
      <c r="J11" s="25">
        <v>105</v>
      </c>
      <c r="K11" s="26">
        <f t="shared" si="1"/>
        <v>238.125</v>
      </c>
      <c r="M11" s="14" t="s">
        <v>41</v>
      </c>
      <c r="N11" s="15">
        <f>N10*Q37</f>
        <v>1380.952380952381</v>
      </c>
      <c r="O11" s="16" t="s">
        <v>42</v>
      </c>
      <c r="Q11" s="32">
        <f>Q10*Q37</f>
        <v>1258.2894737613237</v>
      </c>
      <c r="R11" s="33" t="s">
        <v>43</v>
      </c>
      <c r="S11" s="33"/>
      <c r="T11" s="33"/>
      <c r="U11" s="34"/>
    </row>
    <row r="12" spans="1:21" ht="19.95" customHeight="1" thickBot="1" x14ac:dyDescent="0.4">
      <c r="A12" s="8" t="s">
        <v>38</v>
      </c>
      <c r="B12" s="55">
        <v>4</v>
      </c>
      <c r="C12" s="9" t="s">
        <v>39</v>
      </c>
      <c r="D12" s="4"/>
      <c r="E12" s="65"/>
      <c r="F12" s="35">
        <f>F11/Q11*100</f>
        <v>10.678266233599471</v>
      </c>
      <c r="G12" s="31" t="s">
        <v>39</v>
      </c>
      <c r="I12" s="24">
        <v>250</v>
      </c>
      <c r="J12" s="25">
        <v>50</v>
      </c>
      <c r="K12" s="26">
        <f t="shared" si="1"/>
        <v>113.39285714285714</v>
      </c>
      <c r="M12" s="14" t="s">
        <v>41</v>
      </c>
      <c r="N12" s="15">
        <f>N10*Q38</f>
        <v>11.524605889972499</v>
      </c>
      <c r="O12" s="16" t="s">
        <v>44</v>
      </c>
    </row>
    <row r="13" spans="1:21" ht="19.95" customHeight="1" thickBot="1" x14ac:dyDescent="0.4">
      <c r="A13" s="49" t="s">
        <v>93</v>
      </c>
      <c r="B13" s="56">
        <v>12</v>
      </c>
      <c r="C13" s="31" t="s">
        <v>39</v>
      </c>
      <c r="D13" s="4"/>
      <c r="E13" s="4"/>
      <c r="F13" s="4"/>
      <c r="G13" s="4"/>
      <c r="I13" s="24">
        <v>280</v>
      </c>
      <c r="J13" s="25">
        <v>35</v>
      </c>
      <c r="K13" s="26">
        <f t="shared" si="1"/>
        <v>79.375</v>
      </c>
      <c r="M13" s="14" t="s">
        <v>46</v>
      </c>
      <c r="N13" s="15">
        <f>N12*N5</f>
        <v>119305.5126055732</v>
      </c>
      <c r="O13" s="16" t="s">
        <v>26</v>
      </c>
      <c r="Q13" s="5" t="s">
        <v>47</v>
      </c>
      <c r="R13" s="6"/>
      <c r="S13" s="6"/>
      <c r="T13" s="6"/>
      <c r="U13" s="7"/>
    </row>
    <row r="14" spans="1:21" ht="19.95" customHeight="1" thickBot="1" x14ac:dyDescent="0.4">
      <c r="D14" s="4"/>
      <c r="E14" s="116" t="s">
        <v>101</v>
      </c>
      <c r="F14" s="117"/>
      <c r="G14" s="118"/>
      <c r="I14" s="14"/>
      <c r="K14" s="16"/>
      <c r="M14" s="14" t="s">
        <v>46</v>
      </c>
      <c r="N14" s="15">
        <f>N11*N7</f>
        <v>54116071.428571425</v>
      </c>
      <c r="O14" s="16" t="s">
        <v>49</v>
      </c>
      <c r="Q14" s="14"/>
      <c r="R14" s="17" t="s">
        <v>10</v>
      </c>
      <c r="S14" s="17" t="s">
        <v>11</v>
      </c>
      <c r="T14" s="17"/>
      <c r="U14" s="18" t="s">
        <v>12</v>
      </c>
    </row>
    <row r="15" spans="1:21" ht="19.95" customHeight="1" x14ac:dyDescent="0.35">
      <c r="A15" s="66" t="s">
        <v>45</v>
      </c>
      <c r="B15" s="67"/>
      <c r="C15" s="68"/>
      <c r="D15" s="4"/>
      <c r="E15" s="63" t="s">
        <v>96</v>
      </c>
      <c r="F15" s="10">
        <f>CONVERT(N46,"gal","L")-CONVERT(N31,"gal","L")+B32</f>
        <v>11500</v>
      </c>
      <c r="G15" s="9" t="s">
        <v>107</v>
      </c>
      <c r="I15" s="11" t="s">
        <v>50</v>
      </c>
      <c r="J15" s="12"/>
      <c r="K15" s="13"/>
      <c r="M15" s="14" t="s">
        <v>21</v>
      </c>
      <c r="N15" s="15">
        <f>B12</f>
        <v>4</v>
      </c>
      <c r="O15" s="16" t="s">
        <v>39</v>
      </c>
      <c r="Q15" s="14" t="s">
        <v>24</v>
      </c>
      <c r="R15" s="29">
        <f>N49</f>
        <v>1</v>
      </c>
      <c r="S15" s="29">
        <f>CONVERT(F15,"L","gal")</f>
        <v>3037.9786021187069</v>
      </c>
      <c r="T15" s="1" t="s">
        <v>6</v>
      </c>
      <c r="U15" s="23">
        <f>R15*S15</f>
        <v>3037.9786021187069</v>
      </c>
    </row>
    <row r="16" spans="1:21" ht="19.95" customHeight="1" thickBot="1" x14ac:dyDescent="0.4">
      <c r="A16" s="30" t="s">
        <v>48</v>
      </c>
      <c r="B16" s="36">
        <v>32</v>
      </c>
      <c r="C16" s="31" t="s">
        <v>39</v>
      </c>
      <c r="D16" s="4"/>
      <c r="E16" s="63"/>
      <c r="F16" s="61">
        <f>CONVERT((F15/N34),"in","m")</f>
        <v>0.69696969696969724</v>
      </c>
      <c r="G16" s="9" t="s">
        <v>106</v>
      </c>
      <c r="I16" s="19" t="s">
        <v>14</v>
      </c>
      <c r="J16" s="20" t="s">
        <v>15</v>
      </c>
      <c r="K16" s="21" t="s">
        <v>90</v>
      </c>
      <c r="M16" s="14" t="s">
        <v>21</v>
      </c>
      <c r="N16" s="15">
        <f>N15/100*N11</f>
        <v>55.238095238095241</v>
      </c>
      <c r="O16" s="16" t="s">
        <v>40</v>
      </c>
      <c r="Q16" s="14" t="s">
        <v>29</v>
      </c>
      <c r="R16" s="29">
        <f>N35</f>
        <v>1.1788617886178863</v>
      </c>
      <c r="S16" s="29">
        <f>N31-CONVERT(B32,"L","gal")</f>
        <v>6987.3507848730242</v>
      </c>
      <c r="T16" s="1" t="s">
        <v>6</v>
      </c>
      <c r="U16" s="23">
        <f>R16*S16</f>
        <v>8237.120843956005</v>
      </c>
    </row>
    <row r="17" spans="1:21" ht="19.95" customHeight="1" thickBot="1" x14ac:dyDescent="0.4">
      <c r="A17" s="4"/>
      <c r="B17" s="4"/>
      <c r="C17" s="4"/>
      <c r="D17" s="4"/>
      <c r="E17" s="63" t="s">
        <v>94</v>
      </c>
      <c r="F17" s="10">
        <f>(CONVERT(N31,"gal","L")-B32)*N44/CONVERT(N46,"gal","L")</f>
        <v>24.648928307464889</v>
      </c>
      <c r="G17" s="9" t="s">
        <v>32</v>
      </c>
      <c r="I17" s="24">
        <v>10</v>
      </c>
      <c r="J17" s="25">
        <v>200</v>
      </c>
      <c r="K17" s="26">
        <f>J17*127/56</f>
        <v>453.57142857142856</v>
      </c>
      <c r="M17" s="14" t="s">
        <v>21</v>
      </c>
      <c r="N17" s="15">
        <f>N16*N7</f>
        <v>2164642.8571428573</v>
      </c>
      <c r="O17" s="16" t="s">
        <v>52</v>
      </c>
      <c r="Q17" s="14"/>
      <c r="U17" s="16"/>
    </row>
    <row r="18" spans="1:21" ht="19.95" customHeight="1" x14ac:dyDescent="0.35">
      <c r="A18" s="108" t="s">
        <v>51</v>
      </c>
      <c r="B18" s="109"/>
      <c r="C18" s="110"/>
      <c r="D18" s="4"/>
      <c r="E18" s="64"/>
      <c r="F18" s="10">
        <f>F17/Q19*100</f>
        <v>2.1916757940854326</v>
      </c>
      <c r="G18" s="9" t="s">
        <v>36</v>
      </c>
      <c r="I18" s="24">
        <v>40</v>
      </c>
      <c r="J18" s="25">
        <v>170</v>
      </c>
      <c r="K18" s="26">
        <f t="shared" ref="K18:K26" si="2">J18*127/56</f>
        <v>385.53571428571428</v>
      </c>
      <c r="M18" s="14" t="s">
        <v>53</v>
      </c>
      <c r="N18" s="15">
        <f>B11</f>
        <v>13</v>
      </c>
      <c r="O18" s="16" t="s">
        <v>36</v>
      </c>
      <c r="Q18" s="14">
        <f>SUM(U15:U16)/N46</f>
        <v>1.1246612466124661</v>
      </c>
      <c r="R18" s="1" t="s">
        <v>54</v>
      </c>
      <c r="S18" s="15"/>
      <c r="U18" s="16"/>
    </row>
    <row r="19" spans="1:21" ht="19.95" customHeight="1" thickBot="1" x14ac:dyDescent="0.4">
      <c r="A19" s="8" t="s">
        <v>4</v>
      </c>
      <c r="B19" s="58">
        <v>11</v>
      </c>
      <c r="C19" s="60" t="s">
        <v>104</v>
      </c>
      <c r="D19" s="4"/>
      <c r="E19" s="63" t="s">
        <v>95</v>
      </c>
      <c r="F19" s="10">
        <f>(CONVERT(N31,"gal","L")-B32)*N41/CONVERT(N46,"gal","L")</f>
        <v>12.324464153732444</v>
      </c>
      <c r="G19" s="9" t="s">
        <v>40</v>
      </c>
      <c r="I19" s="24">
        <v>66</v>
      </c>
      <c r="J19" s="25">
        <v>145</v>
      </c>
      <c r="K19" s="26">
        <f t="shared" si="2"/>
        <v>328.83928571428572</v>
      </c>
      <c r="M19" s="14" t="s">
        <v>53</v>
      </c>
      <c r="N19" s="15">
        <f>N18/100*N11</f>
        <v>179.52380952380952</v>
      </c>
      <c r="O19" s="16" t="s">
        <v>55</v>
      </c>
      <c r="Q19" s="32">
        <f>Q18*Q37</f>
        <v>1124.6612466124661</v>
      </c>
      <c r="R19" s="33" t="s">
        <v>56</v>
      </c>
      <c r="S19" s="33"/>
      <c r="T19" s="33"/>
      <c r="U19" s="34"/>
    </row>
    <row r="20" spans="1:21" ht="19.95" customHeight="1" thickBot="1" x14ac:dyDescent="0.4">
      <c r="A20" s="8" t="s">
        <v>13</v>
      </c>
      <c r="B20" s="58">
        <v>1.5</v>
      </c>
      <c r="C20" s="60" t="s">
        <v>104</v>
      </c>
      <c r="D20" s="4"/>
      <c r="E20" s="65"/>
      <c r="F20" s="35">
        <f>F19/Q19*100</f>
        <v>1.0958378970427163</v>
      </c>
      <c r="G20" s="31" t="s">
        <v>39</v>
      </c>
      <c r="I20" s="24">
        <v>120</v>
      </c>
      <c r="J20" s="25">
        <v>95</v>
      </c>
      <c r="K20" s="26">
        <f t="shared" si="2"/>
        <v>215.44642857142858</v>
      </c>
      <c r="M20" s="14" t="s">
        <v>53</v>
      </c>
      <c r="N20" s="15">
        <f>N19*N7</f>
        <v>7035089.2857142854</v>
      </c>
      <c r="O20" s="16" t="s">
        <v>58</v>
      </c>
    </row>
    <row r="21" spans="1:21" ht="19.95" customHeight="1" thickBot="1" x14ac:dyDescent="0.4">
      <c r="A21" s="8" t="s">
        <v>18</v>
      </c>
      <c r="B21" s="58">
        <v>2.5</v>
      </c>
      <c r="C21" s="60" t="s">
        <v>104</v>
      </c>
      <c r="D21" s="4"/>
      <c r="I21" s="24">
        <v>140</v>
      </c>
      <c r="J21" s="25">
        <v>80</v>
      </c>
      <c r="K21" s="26">
        <f t="shared" si="2"/>
        <v>181.42857142857142</v>
      </c>
      <c r="M21" s="32" t="s">
        <v>59</v>
      </c>
      <c r="N21" s="37">
        <f>CONVERT(B4*B5*(B6-B9),"m^3","gal")</f>
        <v>10352.242301784941</v>
      </c>
      <c r="O21" s="34" t="s">
        <v>60</v>
      </c>
      <c r="Q21" s="5" t="s">
        <v>61</v>
      </c>
      <c r="R21" s="6"/>
      <c r="S21" s="6"/>
      <c r="T21" s="6"/>
      <c r="U21" s="7"/>
    </row>
    <row r="22" spans="1:21" ht="19.95" customHeight="1" thickBot="1" x14ac:dyDescent="0.4">
      <c r="A22" s="8" t="s">
        <v>57</v>
      </c>
      <c r="B22" s="59">
        <v>0.2</v>
      </c>
      <c r="C22" s="60" t="s">
        <v>104</v>
      </c>
      <c r="D22" s="4"/>
      <c r="E22" s="69" t="s">
        <v>68</v>
      </c>
      <c r="F22" s="70"/>
      <c r="G22" s="71"/>
      <c r="I22" s="24">
        <v>160</v>
      </c>
      <c r="J22" s="25">
        <v>65</v>
      </c>
      <c r="K22" s="26">
        <f t="shared" si="2"/>
        <v>147.41071428571428</v>
      </c>
      <c r="Q22" s="14" t="s">
        <v>62</v>
      </c>
      <c r="R22" s="29">
        <f>N16</f>
        <v>55.238095238095241</v>
      </c>
      <c r="S22" s="1" t="s">
        <v>32</v>
      </c>
      <c r="T22" s="29">
        <f>N19</f>
        <v>179.52380952380952</v>
      </c>
      <c r="U22" s="16" t="s">
        <v>32</v>
      </c>
    </row>
    <row r="23" spans="1:21" ht="19.95" customHeight="1" x14ac:dyDescent="0.35">
      <c r="A23" s="8" t="s">
        <v>25</v>
      </c>
      <c r="B23" s="59">
        <v>0.2</v>
      </c>
      <c r="C23" s="60" t="s">
        <v>104</v>
      </c>
      <c r="D23" s="4"/>
      <c r="E23" s="84" t="s">
        <v>99</v>
      </c>
      <c r="F23" s="85"/>
      <c r="G23" s="86"/>
      <c r="I23" s="24">
        <v>190</v>
      </c>
      <c r="J23" s="25">
        <v>45</v>
      </c>
      <c r="K23" s="26">
        <f t="shared" si="2"/>
        <v>102.05357142857143</v>
      </c>
      <c r="M23" s="81" t="s">
        <v>63</v>
      </c>
      <c r="N23" s="82"/>
      <c r="O23" s="83"/>
      <c r="Q23" s="14" t="s">
        <v>64</v>
      </c>
      <c r="R23" s="29">
        <f>F11</f>
        <v>134.3634999975919</v>
      </c>
      <c r="S23" s="1" t="s">
        <v>32</v>
      </c>
      <c r="T23" s="29">
        <f>F9</f>
        <v>85.928528786859985</v>
      </c>
      <c r="U23" s="16" t="s">
        <v>32</v>
      </c>
    </row>
    <row r="24" spans="1:21" ht="19.95" customHeight="1" x14ac:dyDescent="0.35">
      <c r="A24" s="8" t="s">
        <v>30</v>
      </c>
      <c r="B24" s="55">
        <v>22</v>
      </c>
      <c r="C24" s="9" t="s">
        <v>31</v>
      </c>
      <c r="D24" s="4"/>
      <c r="E24" s="87"/>
      <c r="F24" s="88"/>
      <c r="G24" s="89"/>
      <c r="I24" s="24">
        <v>220</v>
      </c>
      <c r="J24" s="25">
        <v>30</v>
      </c>
      <c r="K24" s="26">
        <f t="shared" si="2"/>
        <v>68.035714285714292</v>
      </c>
      <c r="M24" s="14" t="s">
        <v>65</v>
      </c>
      <c r="N24" s="1">
        <f>B16</f>
        <v>32</v>
      </c>
      <c r="O24" s="16" t="s">
        <v>66</v>
      </c>
      <c r="Q24" s="14" t="str">
        <f>"Initial Pickle Bath"&amp;CHAR(10)&amp;"("&amp;ROUND(N16,1)&amp;"g/L HCl, "&amp;ROUND(N19,1)&amp;"g/L Fe)"</f>
        <v>Initial Pickle Bath
(55.2g/L HCl, 179.5g/L Fe)</v>
      </c>
      <c r="S24" s="16"/>
      <c r="U24" s="16"/>
    </row>
    <row r="25" spans="1:21" ht="19.95" customHeight="1" thickBot="1" x14ac:dyDescent="0.4">
      <c r="A25" s="8" t="s">
        <v>35</v>
      </c>
      <c r="B25" s="55">
        <v>3</v>
      </c>
      <c r="C25" s="9" t="s">
        <v>36</v>
      </c>
      <c r="E25" s="87"/>
      <c r="F25" s="88"/>
      <c r="G25" s="89"/>
      <c r="I25" s="24">
        <v>260</v>
      </c>
      <c r="J25" s="25">
        <v>15</v>
      </c>
      <c r="K25" s="26">
        <f t="shared" si="2"/>
        <v>34.017857142857146</v>
      </c>
      <c r="M25" s="14" t="s">
        <v>65</v>
      </c>
      <c r="N25" s="29">
        <f>0.0499*POWER(N24,2)+9.9938*N24-0.1367</f>
        <v>370.76249999999999</v>
      </c>
      <c r="O25" s="16" t="s">
        <v>40</v>
      </c>
      <c r="Q25" s="32" t="str">
        <f>IF(AND(R22=R23,T22=T23),"","Adjusted Pickle Bath"&amp;CHAR(10)&amp;"("&amp;ROUND(F11,1)&amp;"g/L HCl, "&amp;ROUND(F9,1)&amp;"g/L Fe)")</f>
        <v>Adjusted Pickle Bath
(134.4g/L HCl, 85.9g/L Fe)</v>
      </c>
      <c r="R25" s="33"/>
      <c r="S25" s="34"/>
      <c r="T25" s="33"/>
      <c r="U25" s="34"/>
    </row>
    <row r="26" spans="1:21" ht="19.95" customHeight="1" thickBot="1" x14ac:dyDescent="0.4">
      <c r="A26" s="30" t="s">
        <v>38</v>
      </c>
      <c r="B26" s="56">
        <v>1.5</v>
      </c>
      <c r="C26" s="31" t="s">
        <v>39</v>
      </c>
      <c r="E26" s="87"/>
      <c r="F26" s="88"/>
      <c r="G26" s="89"/>
      <c r="I26" s="24">
        <v>280</v>
      </c>
      <c r="J26" s="25">
        <v>10</v>
      </c>
      <c r="K26" s="26">
        <f t="shared" si="2"/>
        <v>22.678571428571427</v>
      </c>
      <c r="M26" s="14" t="s">
        <v>65</v>
      </c>
      <c r="N26" s="38">
        <f>N25/119.82643</f>
        <v>3.0941629488586115</v>
      </c>
      <c r="O26" s="16" t="s">
        <v>69</v>
      </c>
    </row>
    <row r="27" spans="1:21" ht="19.95" customHeight="1" thickBot="1" x14ac:dyDescent="0.4">
      <c r="A27" s="4"/>
      <c r="B27" s="4"/>
      <c r="C27" s="4"/>
      <c r="E27" s="14"/>
      <c r="F27" s="51"/>
      <c r="G27" s="16"/>
      <c r="I27" s="14"/>
      <c r="K27" s="16"/>
      <c r="M27" s="32" t="s">
        <v>10</v>
      </c>
      <c r="N27" s="39">
        <f>-0.0000004*POWER(N24,3)+0.00002505*POWER(N24,2)+0.00460832*N24+0.9991834</f>
        <v>1.15919364</v>
      </c>
      <c r="O27" s="34"/>
      <c r="Q27" s="5" t="s">
        <v>71</v>
      </c>
      <c r="R27" s="6"/>
      <c r="S27" s="7"/>
    </row>
    <row r="28" spans="1:21" ht="19.95" customHeight="1" thickBot="1" x14ac:dyDescent="0.4">
      <c r="A28" s="69" t="s">
        <v>67</v>
      </c>
      <c r="B28" s="70"/>
      <c r="C28" s="71"/>
      <c r="E28" s="14"/>
      <c r="F28" s="53"/>
      <c r="G28" s="54"/>
      <c r="I28" s="11" t="s">
        <v>72</v>
      </c>
      <c r="J28" s="12"/>
      <c r="K28" s="13"/>
      <c r="Q28" s="40">
        <f>N16</f>
        <v>55.238095238095241</v>
      </c>
      <c r="R28" s="1" t="s">
        <v>73</v>
      </c>
      <c r="S28" s="16"/>
    </row>
    <row r="29" spans="1:21" ht="19.95" customHeight="1" x14ac:dyDescent="0.35">
      <c r="A29" s="102" t="s">
        <v>70</v>
      </c>
      <c r="B29" s="57">
        <v>11196</v>
      </c>
      <c r="C29" s="60" t="s">
        <v>107</v>
      </c>
      <c r="E29" s="93" t="str">
        <f>" = start with "&amp;ROUND(R41,0)&amp;" liters estimated fresh acid"</f>
        <v xml:space="preserve"> = start with 11196 liters estimated fresh acid</v>
      </c>
      <c r="F29" s="94"/>
      <c r="G29" s="95"/>
      <c r="I29" s="19" t="s">
        <v>14</v>
      </c>
      <c r="J29" s="20" t="s">
        <v>15</v>
      </c>
      <c r="K29" s="21" t="s">
        <v>90</v>
      </c>
      <c r="L29" s="29"/>
      <c r="M29" s="78" t="s">
        <v>74</v>
      </c>
      <c r="N29" s="79"/>
      <c r="O29" s="80"/>
      <c r="Q29" s="40">
        <f>N19</f>
        <v>179.52380952380952</v>
      </c>
      <c r="R29" s="1" t="s">
        <v>75</v>
      </c>
      <c r="S29" s="16"/>
    </row>
    <row r="30" spans="1:21" ht="19.95" customHeight="1" x14ac:dyDescent="0.35">
      <c r="A30" s="103"/>
      <c r="B30" s="61">
        <f>CONVERT((CONVERT(B29,"L","gal")/$N$8),"in","m")</f>
        <v>0.67854545454545445</v>
      </c>
      <c r="C30" s="60" t="s">
        <v>106</v>
      </c>
      <c r="E30" s="87" t="s">
        <v>97</v>
      </c>
      <c r="F30" s="88"/>
      <c r="G30" s="89"/>
      <c r="I30" s="24">
        <v>10</v>
      </c>
      <c r="J30" s="25">
        <v>123</v>
      </c>
      <c r="K30" s="26">
        <f>J30*127/56</f>
        <v>278.94642857142856</v>
      </c>
      <c r="L30" s="29"/>
      <c r="M30" s="14" t="s">
        <v>77</v>
      </c>
      <c r="N30" s="15">
        <f>CONVERT(N32,"L","in^3")</f>
        <v>2315851.0883950898</v>
      </c>
      <c r="O30" s="16" t="s">
        <v>9</v>
      </c>
      <c r="Q30" s="40">
        <f>0.000002*POWER(Q28,3)+0.00006*POWER(Q28,2)-0.9196*Q28+242.43</f>
        <v>192.15321261202894</v>
      </c>
      <c r="R30" s="1" t="s">
        <v>78</v>
      </c>
      <c r="S30" s="16"/>
    </row>
    <row r="31" spans="1:21" ht="19.95" customHeight="1" x14ac:dyDescent="0.35">
      <c r="A31" s="104"/>
      <c r="B31" s="10">
        <f>CONVERT((CONVERT(B29,"L","gal")*N26),"lbm","kg")</f>
        <v>4151.0568570512669</v>
      </c>
      <c r="C31" s="60" t="s">
        <v>105</v>
      </c>
      <c r="E31" s="87"/>
      <c r="F31" s="88"/>
      <c r="G31" s="89"/>
      <c r="I31" s="24">
        <v>20</v>
      </c>
      <c r="J31" s="25">
        <v>115</v>
      </c>
      <c r="K31" s="26">
        <f t="shared" ref="K31:K37" si="3">J31*127/56</f>
        <v>260.80357142857144</v>
      </c>
      <c r="M31" s="14" t="s">
        <v>77</v>
      </c>
      <c r="N31" s="15">
        <f>CONVERT(N32,"L","gal")</f>
        <v>10025.329386991731</v>
      </c>
      <c r="O31" s="16" t="s">
        <v>16</v>
      </c>
      <c r="Q31" s="40">
        <f>0.000003*POWER(Q28,3)+0.0003*POWER(Q28,2)-1.0388*Q28+210.64</f>
        <v>154.67967606090053</v>
      </c>
      <c r="R31" s="1" t="s">
        <v>79</v>
      </c>
      <c r="S31" s="16"/>
    </row>
    <row r="32" spans="1:21" ht="19.95" customHeight="1" x14ac:dyDescent="0.35">
      <c r="A32" s="99" t="s">
        <v>76</v>
      </c>
      <c r="B32" s="57">
        <v>11500</v>
      </c>
      <c r="C32" s="60" t="s">
        <v>107</v>
      </c>
      <c r="E32" s="87"/>
      <c r="F32" s="88"/>
      <c r="G32" s="89"/>
      <c r="I32" s="24">
        <v>50</v>
      </c>
      <c r="J32" s="25">
        <v>90</v>
      </c>
      <c r="K32" s="26">
        <f t="shared" si="3"/>
        <v>204.10714285714286</v>
      </c>
      <c r="M32" s="14" t="s">
        <v>77</v>
      </c>
      <c r="N32" s="15">
        <f>CONVERT((B19*B20*(B21-B22)),"m^3","L")</f>
        <v>37949.999999999993</v>
      </c>
      <c r="O32" s="16" t="s">
        <v>23</v>
      </c>
      <c r="Q32" s="40">
        <f>0.0000005*POWER(Q28,3)+0.0012*POWER(Q28,2)-0.9173*Q28+132.44</f>
        <v>85.515864377497024</v>
      </c>
      <c r="R32" s="1" t="s">
        <v>80</v>
      </c>
      <c r="S32" s="16"/>
    </row>
    <row r="33" spans="1:19" ht="19.95" customHeight="1" x14ac:dyDescent="0.35">
      <c r="A33" s="100"/>
      <c r="B33" s="61">
        <f>CONVERT((CONVERT(B32,"L","gal")/$N$8),"in","m")</f>
        <v>0.69696969696969702</v>
      </c>
      <c r="C33" s="60" t="s">
        <v>106</v>
      </c>
      <c r="E33" s="87"/>
      <c r="F33" s="88"/>
      <c r="G33" s="89"/>
      <c r="I33" s="24">
        <v>90</v>
      </c>
      <c r="J33" s="25">
        <v>60</v>
      </c>
      <c r="K33" s="26">
        <f t="shared" si="3"/>
        <v>136.07142857142858</v>
      </c>
      <c r="M33" s="14" t="s">
        <v>27</v>
      </c>
      <c r="N33" s="15">
        <f>N31/CONVERT((B21-B22),"m","in")</f>
        <v>110.71450714329998</v>
      </c>
      <c r="O33" s="16" t="s">
        <v>82</v>
      </c>
      <c r="Q33" s="72" t="str">
        <f>IF(Q29&gt;=Q30,"Pickling bath is saturated with iron. No pickling will occur",IF(Q29&gt;=Q31,"Between optical pickling rates and iron saturation",IF(Q29&gt;=Q32,"between 50-100% opimal pickling rate","Pickling below 50% optimal rate. Expect extended pickling times")))</f>
        <v>Between optical pickling rates and iron saturation</v>
      </c>
      <c r="R33" s="73"/>
      <c r="S33" s="74"/>
    </row>
    <row r="34" spans="1:19" ht="19.95" customHeight="1" thickBot="1" x14ac:dyDescent="0.4">
      <c r="A34" s="101"/>
      <c r="B34" s="10">
        <f>CONVERT((CONVERT(B32,"L","gal")*N37),"lbm","kg")</f>
        <v>13556.910265544979</v>
      </c>
      <c r="C34" s="60" t="s">
        <v>105</v>
      </c>
      <c r="E34" s="87"/>
      <c r="F34" s="88"/>
      <c r="G34" s="89"/>
      <c r="I34" s="24">
        <v>105</v>
      </c>
      <c r="J34" s="25">
        <v>50</v>
      </c>
      <c r="K34" s="26">
        <f t="shared" si="3"/>
        <v>113.39285714285714</v>
      </c>
      <c r="M34" s="14" t="s">
        <v>83</v>
      </c>
      <c r="N34" s="15">
        <f>CONVERT(N33,"gal","L")</f>
        <v>419.09999999999991</v>
      </c>
      <c r="O34" s="16" t="s">
        <v>84</v>
      </c>
      <c r="Q34" s="75"/>
      <c r="R34" s="76"/>
      <c r="S34" s="77"/>
    </row>
    <row r="35" spans="1:19" ht="19.95" customHeight="1" thickBot="1" x14ac:dyDescent="0.4">
      <c r="A35" s="96" t="s">
        <v>81</v>
      </c>
      <c r="B35" s="57">
        <v>0</v>
      </c>
      <c r="C35" s="60" t="s">
        <v>107</v>
      </c>
      <c r="E35" s="87"/>
      <c r="F35" s="88"/>
      <c r="G35" s="89"/>
      <c r="I35" s="24">
        <v>130</v>
      </c>
      <c r="J35" s="25">
        <v>35</v>
      </c>
      <c r="K35" s="26">
        <f t="shared" si="3"/>
        <v>79.375</v>
      </c>
      <c r="M35" s="14" t="s">
        <v>10</v>
      </c>
      <c r="N35" s="28">
        <f>145/(145-B24)</f>
        <v>1.1788617886178863</v>
      </c>
      <c r="O35" s="16"/>
    </row>
    <row r="36" spans="1:19" ht="19.95" customHeight="1" x14ac:dyDescent="0.35">
      <c r="A36" s="97"/>
      <c r="B36" s="61">
        <f>CONVERT((CONVERT(B35,"L","gal")/$N$8),"in","m")</f>
        <v>0</v>
      </c>
      <c r="C36" s="60" t="s">
        <v>106</v>
      </c>
      <c r="E36" s="87"/>
      <c r="F36" s="88"/>
      <c r="G36" s="89"/>
      <c r="I36" s="24">
        <v>150</v>
      </c>
      <c r="J36" s="25">
        <v>25</v>
      </c>
      <c r="K36" s="26">
        <f t="shared" si="3"/>
        <v>56.696428571428569</v>
      </c>
      <c r="M36" s="14" t="s">
        <v>41</v>
      </c>
      <c r="N36" s="15">
        <f>N35*Q37</f>
        <v>1178.8617886178863</v>
      </c>
      <c r="O36" s="16" t="s">
        <v>32</v>
      </c>
      <c r="Q36" s="5" t="s">
        <v>85</v>
      </c>
      <c r="R36" s="6"/>
      <c r="S36" s="7"/>
    </row>
    <row r="37" spans="1:19" ht="19.95" customHeight="1" thickBot="1" x14ac:dyDescent="0.4">
      <c r="A37" s="98"/>
      <c r="B37" s="35">
        <f>CONVERT((CONVERT(B35,"L","gal")*N51),"lbm","kg")</f>
        <v>0</v>
      </c>
      <c r="C37" s="62" t="s">
        <v>105</v>
      </c>
      <c r="E37" s="87"/>
      <c r="F37" s="88"/>
      <c r="G37" s="89"/>
      <c r="I37" s="41">
        <v>180</v>
      </c>
      <c r="J37" s="42">
        <v>10</v>
      </c>
      <c r="K37" s="43">
        <f t="shared" si="3"/>
        <v>22.678571428571427</v>
      </c>
      <c r="M37" s="14" t="s">
        <v>41</v>
      </c>
      <c r="N37" s="29">
        <f>N35*Q38</f>
        <v>9.8380781987570121</v>
      </c>
      <c r="O37" s="16" t="s">
        <v>69</v>
      </c>
      <c r="Q37" s="14">
        <v>1000</v>
      </c>
      <c r="R37" s="1" t="s">
        <v>32</v>
      </c>
      <c r="S37" s="16"/>
    </row>
    <row r="38" spans="1:19" ht="19.95" customHeight="1" thickBot="1" x14ac:dyDescent="0.35">
      <c r="E38" s="87"/>
      <c r="F38" s="88"/>
      <c r="G38" s="89"/>
      <c r="M38" s="14" t="s">
        <v>86</v>
      </c>
      <c r="N38" s="15">
        <f>N37*N31</f>
        <v>98629.974477521348</v>
      </c>
      <c r="O38" s="16" t="s">
        <v>87</v>
      </c>
      <c r="Q38" s="44">
        <v>8.3454042651524993</v>
      </c>
      <c r="R38" s="33" t="s">
        <v>69</v>
      </c>
      <c r="S38" s="34"/>
    </row>
    <row r="39" spans="1:19" ht="19.95" customHeight="1" thickBot="1" x14ac:dyDescent="0.35">
      <c r="A39" s="105" t="s">
        <v>92</v>
      </c>
      <c r="B39" s="106"/>
      <c r="C39" s="107"/>
      <c r="E39" s="90"/>
      <c r="F39" s="91"/>
      <c r="G39" s="92"/>
      <c r="M39" s="14" t="s">
        <v>86</v>
      </c>
      <c r="N39" s="15">
        <f>N36*N32</f>
        <v>44737804.878048778</v>
      </c>
      <c r="O39" s="16" t="s">
        <v>88</v>
      </c>
    </row>
    <row r="40" spans="1:19" x14ac:dyDescent="0.3">
      <c r="M40" s="14" t="s">
        <v>21</v>
      </c>
      <c r="N40" s="29">
        <f>B26</f>
        <v>1.5</v>
      </c>
      <c r="O40" s="16" t="s">
        <v>39</v>
      </c>
      <c r="Q40" s="5" t="s">
        <v>108</v>
      </c>
      <c r="R40" s="6"/>
      <c r="S40" s="7"/>
    </row>
    <row r="41" spans="1:19" ht="15" thickBot="1" x14ac:dyDescent="0.35">
      <c r="M41" s="14" t="s">
        <v>21</v>
      </c>
      <c r="N41" s="15">
        <f>N40/100*N36</f>
        <v>17.682926829268293</v>
      </c>
      <c r="O41" s="16" t="s">
        <v>40</v>
      </c>
      <c r="Q41" s="44" t="s">
        <v>109</v>
      </c>
      <c r="R41" s="50">
        <f>CONVERT((264.17*N6*(B13-B12)/(B16-B12)),"gal","L")</f>
        <v>11196.341586143009</v>
      </c>
      <c r="S41" s="34"/>
    </row>
    <row r="42" spans="1:19" x14ac:dyDescent="0.3">
      <c r="M42" s="14" t="s">
        <v>21</v>
      </c>
      <c r="N42" s="15">
        <f>N41*N32</f>
        <v>671067.07317073166</v>
      </c>
      <c r="O42" s="16" t="s">
        <v>52</v>
      </c>
    </row>
    <row r="43" spans="1:19" x14ac:dyDescent="0.3">
      <c r="M43" s="14" t="s">
        <v>53</v>
      </c>
      <c r="N43" s="15">
        <f>B25</f>
        <v>3</v>
      </c>
      <c r="O43" s="16" t="s">
        <v>36</v>
      </c>
    </row>
    <row r="44" spans="1:19" x14ac:dyDescent="0.3">
      <c r="M44" s="14" t="s">
        <v>53</v>
      </c>
      <c r="N44" s="15">
        <f>N43/100*N36</f>
        <v>35.365853658536587</v>
      </c>
      <c r="O44" s="16" t="s">
        <v>55</v>
      </c>
    </row>
    <row r="45" spans="1:19" x14ac:dyDescent="0.3">
      <c r="M45" s="14" t="s">
        <v>53</v>
      </c>
      <c r="N45" s="15">
        <f>N44*N32</f>
        <v>1342134.1463414633</v>
      </c>
      <c r="O45" s="16" t="s">
        <v>58</v>
      </c>
    </row>
    <row r="46" spans="1:19" ht="15" thickBot="1" x14ac:dyDescent="0.35">
      <c r="M46" s="32" t="s">
        <v>59</v>
      </c>
      <c r="N46" s="37">
        <f>CONVERT(B19*B20*(B21-B23),"m^3","gal")</f>
        <v>10025.329386991731</v>
      </c>
      <c r="O46" s="34" t="s">
        <v>60</v>
      </c>
    </row>
    <row r="47" spans="1:19" ht="15" thickBot="1" x14ac:dyDescent="0.35"/>
    <row r="48" spans="1:19" x14ac:dyDescent="0.3">
      <c r="M48" s="45" t="s">
        <v>89</v>
      </c>
      <c r="N48" s="46"/>
      <c r="O48" s="47"/>
    </row>
    <row r="49" spans="13:15" x14ac:dyDescent="0.3">
      <c r="M49" s="14" t="s">
        <v>10</v>
      </c>
      <c r="N49" s="38">
        <v>1</v>
      </c>
      <c r="O49" s="16"/>
    </row>
    <row r="50" spans="13:15" x14ac:dyDescent="0.3">
      <c r="M50" s="14" t="s">
        <v>41</v>
      </c>
      <c r="N50" s="38">
        <f>Q37</f>
        <v>1000</v>
      </c>
      <c r="O50" s="16" t="s">
        <v>32</v>
      </c>
    </row>
    <row r="51" spans="13:15" x14ac:dyDescent="0.3">
      <c r="M51" s="14" t="s">
        <v>41</v>
      </c>
      <c r="N51" s="38">
        <f>Q38</f>
        <v>8.3454042651524993</v>
      </c>
      <c r="O51" s="16" t="s">
        <v>69</v>
      </c>
    </row>
    <row r="52" spans="13:15" x14ac:dyDescent="0.3">
      <c r="M52" s="14" t="s">
        <v>21</v>
      </c>
      <c r="N52" s="38">
        <v>0</v>
      </c>
      <c r="O52" s="16" t="s">
        <v>39</v>
      </c>
    </row>
    <row r="53" spans="13:15" x14ac:dyDescent="0.3">
      <c r="M53" s="14" t="s">
        <v>21</v>
      </c>
      <c r="N53" s="38">
        <f>N52/100*N50</f>
        <v>0</v>
      </c>
      <c r="O53" s="16" t="s">
        <v>40</v>
      </c>
    </row>
    <row r="54" spans="13:15" x14ac:dyDescent="0.3">
      <c r="M54" s="14" t="s">
        <v>21</v>
      </c>
      <c r="N54" s="38">
        <f>N53*L29</f>
        <v>0</v>
      </c>
      <c r="O54" s="16" t="s">
        <v>52</v>
      </c>
    </row>
    <row r="55" spans="13:15" x14ac:dyDescent="0.3">
      <c r="M55" s="14" t="s">
        <v>53</v>
      </c>
      <c r="N55" s="38">
        <v>0</v>
      </c>
      <c r="O55" s="16" t="s">
        <v>36</v>
      </c>
    </row>
    <row r="56" spans="13:15" x14ac:dyDescent="0.3">
      <c r="M56" s="14" t="s">
        <v>53</v>
      </c>
      <c r="N56" s="38">
        <f>N55/100*N50</f>
        <v>0</v>
      </c>
      <c r="O56" s="16" t="s">
        <v>55</v>
      </c>
    </row>
    <row r="57" spans="13:15" ht="15" thickBot="1" x14ac:dyDescent="0.35">
      <c r="M57" s="32" t="s">
        <v>53</v>
      </c>
      <c r="N57" s="48">
        <f>N56*L29</f>
        <v>0</v>
      </c>
      <c r="O57" s="34" t="s">
        <v>58</v>
      </c>
    </row>
  </sheetData>
  <sheetProtection algorithmName="SHA-512" hashValue="fFgv3anqLiGJ2cwKECG5QqG2baZKWTIsGNyysHKzUnf4rpual/yg4PQdvNbsGLIntEL3EVpIc6HUkFYrGnwdLQ==" saltValue="CEw1KfyrBD+pik5XssHPxw==" spinCount="100000" sheet="1" scenarios="1" formatCells="0"/>
  <mergeCells count="27">
    <mergeCell ref="I3:K3"/>
    <mergeCell ref="M3:O3"/>
    <mergeCell ref="E6:E8"/>
    <mergeCell ref="E9:E10"/>
    <mergeCell ref="E11:E12"/>
    <mergeCell ref="E4:E5"/>
    <mergeCell ref="C1:G1"/>
    <mergeCell ref="A3:C3"/>
    <mergeCell ref="E3:G3"/>
    <mergeCell ref="E14:G14"/>
    <mergeCell ref="E15:E16"/>
    <mergeCell ref="E17:E18"/>
    <mergeCell ref="E19:E20"/>
    <mergeCell ref="A15:C15"/>
    <mergeCell ref="E22:G22"/>
    <mergeCell ref="Q33:S34"/>
    <mergeCell ref="M29:O29"/>
    <mergeCell ref="M23:O23"/>
    <mergeCell ref="E23:G26"/>
    <mergeCell ref="E30:G39"/>
    <mergeCell ref="E29:G29"/>
    <mergeCell ref="A35:A37"/>
    <mergeCell ref="A32:A34"/>
    <mergeCell ref="A29:A31"/>
    <mergeCell ref="A39:C39"/>
    <mergeCell ref="A18:C18"/>
    <mergeCell ref="A28:C28"/>
  </mergeCells>
  <printOptions horizontalCentered="1" verticalCentered="1"/>
  <pageMargins left="0.5" right="0.5" top="0.5" bottom="0.5" header="0" footer="0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4B13738093B141ABBB86CE48FD0F2D" ma:contentTypeVersion="13" ma:contentTypeDescription="Create a new document." ma:contentTypeScope="" ma:versionID="61f5cdef857cdabd858e4193757a694c">
  <xsd:schema xmlns:xsd="http://www.w3.org/2001/XMLSchema" xmlns:xs="http://www.w3.org/2001/XMLSchema" xmlns:p="http://schemas.microsoft.com/office/2006/metadata/properties" xmlns:ns2="f392a082-9c32-4efe-b681-cf34bab4bdeb" xmlns:ns3="496f1e48-e193-473d-9cd3-5037affdbc25" targetNamespace="http://schemas.microsoft.com/office/2006/metadata/properties" ma:root="true" ma:fieldsID="418f9263d7aa8f1c406979de877ef87d" ns2:_="" ns3:_="">
    <xsd:import namespace="f392a082-9c32-4efe-b681-cf34bab4bdeb"/>
    <xsd:import namespace="496f1e48-e193-473d-9cd3-5037affdbc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2a082-9c32-4efe-b681-cf34bab4bd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f1e48-e193-473d-9cd3-5037affdbc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60B1A9-5873-4CA9-B9EC-C02D194E2C09}"/>
</file>

<file path=customXml/itemProps2.xml><?xml version="1.0" encoding="utf-8"?>
<ds:datastoreItem xmlns:ds="http://schemas.openxmlformats.org/officeDocument/2006/customXml" ds:itemID="{2446B795-F55D-4B9E-B623-C73401895AD9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74debd6b-adbc-4f04-82b3-34743765ca8c"/>
    <ds:schemaRef ds:uri="http://www.w3.org/XML/1998/namespace"/>
    <ds:schemaRef ds:uri="http://purl.org/dc/terms/"/>
    <ds:schemaRef ds:uri="http://schemas.microsoft.com/office/infopath/2007/PartnerControls"/>
    <ds:schemaRef ds:uri="24440f57-8632-4151-86e2-b389bca1661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331B1EC-8E96-4E6F-8986-0666969005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Kleingarn Curve Calculator</vt:lpstr>
      <vt:lpstr>'Kleingarn Curve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Alana Fossa</dc:creator>
  <cp:lastModifiedBy>Alana Fossa</cp:lastModifiedBy>
  <cp:lastPrinted>2021-05-19T22:52:58Z</cp:lastPrinted>
  <dcterms:created xsi:type="dcterms:W3CDTF">2020-05-13T15:59:24Z</dcterms:created>
  <dcterms:modified xsi:type="dcterms:W3CDTF">2021-05-20T01:26:09Z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0x010100E44B13738093B141ABBB86CE48FD0F2D</vt:lpwstr>
  </property>
</Properties>
</file>